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andresmejialievano/Desktop/Projects/GroupProject1/Code/Andres_Mejia/"/>
    </mc:Choice>
  </mc:AlternateContent>
  <xr:revisionPtr revIDLastSave="0" documentId="8_{29046710-ABAB-C34F-BE0E-73696F528917}" xr6:coauthVersionLast="36" xr6:coauthVersionMax="36" xr10:uidLastSave="{00000000-0000-0000-0000-000000000000}"/>
  <bookViews>
    <workbookView xWindow="0" yWindow="460" windowWidth="27320" windowHeight="13980" xr2:uid="{00000000-000D-0000-FFFF-FFFF00000000}"/>
  </bookViews>
  <sheets>
    <sheet name="Sheet1" sheetId="1" r:id="rId1"/>
    <sheet name="SPY_Zika_AM" sheetId="2" r:id="rId2"/>
    <sheet name="SPY_H1N1_AM" sheetId="3" r:id="rId3"/>
    <sheet name="SPY_SARS_AM" sheetId="4" r:id="rId4"/>
    <sheet name="SPY_Ebola_AM" sheetId="5" r:id="rId5"/>
  </sheets>
  <calcPr calcId="181029"/>
</workbook>
</file>

<file path=xl/calcChain.xml><?xml version="1.0" encoding="utf-8"?>
<calcChain xmlns="http://schemas.openxmlformats.org/spreadsheetml/2006/main">
  <c r="F607" i="1" l="1"/>
  <c r="E607" i="1"/>
  <c r="D607" i="1"/>
  <c r="C607" i="1"/>
  <c r="B607" i="1"/>
  <c r="A607" i="1"/>
  <c r="F606" i="1"/>
  <c r="E606" i="1"/>
  <c r="D606" i="1"/>
  <c r="C606" i="1"/>
  <c r="B606" i="1"/>
  <c r="A606" i="1"/>
  <c r="F605" i="1"/>
  <c r="E605" i="1"/>
  <c r="D605" i="1"/>
  <c r="C605" i="1"/>
  <c r="B605" i="1"/>
  <c r="A605" i="1"/>
  <c r="F604" i="1"/>
  <c r="E604" i="1"/>
  <c r="D604" i="1"/>
  <c r="C604" i="1"/>
  <c r="B604" i="1"/>
  <c r="A604" i="1"/>
  <c r="F603" i="1"/>
  <c r="E603" i="1"/>
  <c r="D603" i="1"/>
  <c r="C603" i="1"/>
  <c r="B603" i="1"/>
  <c r="A603" i="1"/>
  <c r="F602" i="1"/>
  <c r="E602" i="1"/>
  <c r="D602" i="1"/>
  <c r="C602" i="1"/>
  <c r="B602" i="1"/>
  <c r="A602" i="1"/>
  <c r="F601" i="1"/>
  <c r="E601" i="1"/>
  <c r="D601" i="1"/>
  <c r="C601" i="1"/>
  <c r="B601" i="1"/>
  <c r="A601" i="1"/>
  <c r="F600" i="1"/>
  <c r="E600" i="1"/>
  <c r="D600" i="1"/>
  <c r="C600" i="1"/>
  <c r="B600" i="1"/>
  <c r="A600" i="1"/>
  <c r="F599" i="1"/>
  <c r="E599" i="1"/>
  <c r="D599" i="1"/>
  <c r="C599" i="1"/>
  <c r="B599" i="1"/>
  <c r="A599" i="1"/>
  <c r="F598" i="1"/>
  <c r="E598" i="1"/>
  <c r="D598" i="1"/>
  <c r="C598" i="1"/>
  <c r="B598" i="1"/>
  <c r="A598" i="1"/>
  <c r="F597" i="1"/>
  <c r="E597" i="1"/>
  <c r="D597" i="1"/>
  <c r="C597" i="1"/>
  <c r="B597" i="1"/>
  <c r="A597" i="1"/>
  <c r="F596" i="1"/>
  <c r="E596" i="1"/>
  <c r="D596" i="1"/>
  <c r="C596" i="1"/>
  <c r="B596" i="1"/>
  <c r="A596" i="1"/>
  <c r="F595" i="1"/>
  <c r="E595" i="1"/>
  <c r="D595" i="1"/>
  <c r="C595" i="1"/>
  <c r="B595" i="1"/>
  <c r="A595" i="1"/>
  <c r="F594" i="1"/>
  <c r="E594" i="1"/>
  <c r="D594" i="1"/>
  <c r="C594" i="1"/>
  <c r="B594" i="1"/>
  <c r="A594" i="1"/>
  <c r="F593" i="1"/>
  <c r="E593" i="1"/>
  <c r="D593" i="1"/>
  <c r="C593" i="1"/>
  <c r="B593" i="1"/>
  <c r="A593" i="1"/>
  <c r="F592" i="1"/>
  <c r="E592" i="1"/>
  <c r="D592" i="1"/>
  <c r="C592" i="1"/>
  <c r="B592" i="1"/>
  <c r="A592" i="1"/>
  <c r="F591" i="1"/>
  <c r="E591" i="1"/>
  <c r="D591" i="1"/>
  <c r="C591" i="1"/>
  <c r="B591" i="1"/>
  <c r="A591" i="1"/>
  <c r="F590" i="1"/>
  <c r="E590" i="1"/>
  <c r="D590" i="1"/>
  <c r="C590" i="1"/>
  <c r="B590" i="1"/>
  <c r="A590" i="1"/>
  <c r="F589" i="1"/>
  <c r="E589" i="1"/>
  <c r="D589" i="1"/>
  <c r="C589" i="1"/>
  <c r="B589" i="1"/>
  <c r="A589" i="1"/>
  <c r="F588" i="1"/>
  <c r="E588" i="1"/>
  <c r="D588" i="1"/>
  <c r="C588" i="1"/>
  <c r="B588" i="1"/>
  <c r="A588" i="1"/>
  <c r="F587" i="1"/>
  <c r="E587" i="1"/>
  <c r="D587" i="1"/>
  <c r="C587" i="1"/>
  <c r="B587" i="1"/>
  <c r="A587" i="1"/>
  <c r="F586" i="1"/>
  <c r="E586" i="1"/>
  <c r="D586" i="1"/>
  <c r="C586" i="1"/>
  <c r="B586" i="1"/>
  <c r="A586" i="1"/>
  <c r="F585" i="1"/>
  <c r="E585" i="1"/>
  <c r="D585" i="1"/>
  <c r="C585" i="1"/>
  <c r="B585" i="1"/>
  <c r="A585" i="1"/>
  <c r="F584" i="1"/>
  <c r="E584" i="1"/>
  <c r="D584" i="1"/>
  <c r="C584" i="1"/>
  <c r="B584" i="1"/>
  <c r="A584" i="1"/>
  <c r="F583" i="1"/>
  <c r="E583" i="1"/>
  <c r="D583" i="1"/>
  <c r="C583" i="1"/>
  <c r="B583" i="1"/>
  <c r="A583" i="1"/>
  <c r="F582" i="1"/>
  <c r="E582" i="1"/>
  <c r="D582" i="1"/>
  <c r="C582" i="1"/>
  <c r="B582" i="1"/>
  <c r="A582" i="1"/>
  <c r="F581" i="1"/>
  <c r="E581" i="1"/>
  <c r="D581" i="1"/>
  <c r="C581" i="1"/>
  <c r="B581" i="1"/>
  <c r="A581" i="1"/>
  <c r="F580" i="1"/>
  <c r="E580" i="1"/>
  <c r="D580" i="1"/>
  <c r="C580" i="1"/>
  <c r="B580" i="1"/>
  <c r="A580" i="1"/>
  <c r="F579" i="1"/>
  <c r="E579" i="1"/>
  <c r="D579" i="1"/>
  <c r="C579" i="1"/>
  <c r="B579" i="1"/>
  <c r="A579" i="1"/>
  <c r="F578" i="1"/>
  <c r="E578" i="1"/>
  <c r="D578" i="1"/>
  <c r="C578" i="1"/>
  <c r="B578" i="1"/>
  <c r="A578" i="1"/>
  <c r="F577" i="1"/>
  <c r="E577" i="1"/>
  <c r="D577" i="1"/>
  <c r="C577" i="1"/>
  <c r="B577" i="1"/>
  <c r="A577" i="1"/>
  <c r="F576" i="1"/>
  <c r="E576" i="1"/>
  <c r="D576" i="1"/>
  <c r="C576" i="1"/>
  <c r="B576" i="1"/>
  <c r="A576" i="1"/>
  <c r="F575" i="1"/>
  <c r="E575" i="1"/>
  <c r="D575" i="1"/>
  <c r="C575" i="1"/>
  <c r="B575" i="1"/>
  <c r="A575" i="1"/>
  <c r="F574" i="1"/>
  <c r="E574" i="1"/>
  <c r="D574" i="1"/>
  <c r="C574" i="1"/>
  <c r="B574" i="1"/>
  <c r="A574" i="1"/>
  <c r="F573" i="1"/>
  <c r="E573" i="1"/>
  <c r="D573" i="1"/>
  <c r="C573" i="1"/>
  <c r="B573" i="1"/>
  <c r="A573" i="1"/>
  <c r="F572" i="1"/>
  <c r="E572" i="1"/>
  <c r="D572" i="1"/>
  <c r="C572" i="1"/>
  <c r="B572" i="1"/>
  <c r="A572" i="1"/>
  <c r="F571" i="1"/>
  <c r="E571" i="1"/>
  <c r="D571" i="1"/>
  <c r="C571" i="1"/>
  <c r="B571" i="1"/>
  <c r="A571" i="1"/>
  <c r="F570" i="1"/>
  <c r="E570" i="1"/>
  <c r="D570" i="1"/>
  <c r="C570" i="1"/>
  <c r="B570" i="1"/>
  <c r="A570" i="1"/>
  <c r="F569" i="1"/>
  <c r="E569" i="1"/>
  <c r="D569" i="1"/>
  <c r="C569" i="1"/>
  <c r="B569" i="1"/>
  <c r="A569" i="1"/>
  <c r="F568" i="1"/>
  <c r="E568" i="1"/>
  <c r="D568" i="1"/>
  <c r="C568" i="1"/>
  <c r="B568" i="1"/>
  <c r="A568" i="1"/>
  <c r="F567" i="1"/>
  <c r="E567" i="1"/>
  <c r="D567" i="1"/>
  <c r="C567" i="1"/>
  <c r="B567" i="1"/>
  <c r="A567" i="1"/>
  <c r="F566" i="1"/>
  <c r="E566" i="1"/>
  <c r="D566" i="1"/>
  <c r="C566" i="1"/>
  <c r="B566" i="1"/>
  <c r="A566" i="1"/>
  <c r="F565" i="1"/>
  <c r="E565" i="1"/>
  <c r="D565" i="1"/>
  <c r="C565" i="1"/>
  <c r="B565" i="1"/>
  <c r="A565" i="1"/>
  <c r="F564" i="1"/>
  <c r="E564" i="1"/>
  <c r="D564" i="1"/>
  <c r="C564" i="1"/>
  <c r="B564" i="1"/>
  <c r="A564" i="1"/>
  <c r="F563" i="1"/>
  <c r="E563" i="1"/>
  <c r="D563" i="1"/>
  <c r="C563" i="1"/>
  <c r="B563" i="1"/>
  <c r="A563" i="1"/>
  <c r="F562" i="1"/>
  <c r="E562" i="1"/>
  <c r="D562" i="1"/>
  <c r="C562" i="1"/>
  <c r="B562" i="1"/>
  <c r="A562" i="1"/>
  <c r="F561" i="1"/>
  <c r="E561" i="1"/>
  <c r="D561" i="1"/>
  <c r="C561" i="1"/>
  <c r="B561" i="1"/>
  <c r="A561" i="1"/>
  <c r="F560" i="1"/>
  <c r="E560" i="1"/>
  <c r="D560" i="1"/>
  <c r="C560" i="1"/>
  <c r="B560" i="1"/>
  <c r="A560" i="1"/>
  <c r="F559" i="1"/>
  <c r="E559" i="1"/>
  <c r="D559" i="1"/>
  <c r="C559" i="1"/>
  <c r="B559" i="1"/>
  <c r="A559" i="1"/>
  <c r="F558" i="1"/>
  <c r="E558" i="1"/>
  <c r="D558" i="1"/>
  <c r="C558" i="1"/>
  <c r="B558" i="1"/>
  <c r="A558" i="1"/>
  <c r="F557" i="1"/>
  <c r="E557" i="1"/>
  <c r="D557" i="1"/>
  <c r="C557" i="1"/>
  <c r="B557" i="1"/>
  <c r="A557" i="1"/>
  <c r="F556" i="1"/>
  <c r="E556" i="1"/>
  <c r="D556" i="1"/>
  <c r="C556" i="1"/>
  <c r="B556" i="1"/>
  <c r="A556" i="1"/>
  <c r="F555" i="1"/>
  <c r="E555" i="1"/>
  <c r="D555" i="1"/>
  <c r="C555" i="1"/>
  <c r="B555" i="1"/>
  <c r="A555" i="1"/>
  <c r="F554" i="1"/>
  <c r="E554" i="1"/>
  <c r="D554" i="1"/>
  <c r="C554" i="1"/>
  <c r="B554" i="1"/>
  <c r="A554" i="1"/>
  <c r="F553" i="1"/>
  <c r="E553" i="1"/>
  <c r="D553" i="1"/>
  <c r="C553" i="1"/>
  <c r="B553" i="1"/>
  <c r="A553" i="1"/>
  <c r="F552" i="1"/>
  <c r="E552" i="1"/>
  <c r="D552" i="1"/>
  <c r="C552" i="1"/>
  <c r="B552" i="1"/>
  <c r="A552" i="1"/>
  <c r="F551" i="1"/>
  <c r="E551" i="1"/>
  <c r="D551" i="1"/>
  <c r="C551" i="1"/>
  <c r="B551" i="1"/>
  <c r="A551" i="1"/>
  <c r="F550" i="1"/>
  <c r="E550" i="1"/>
  <c r="D550" i="1"/>
  <c r="C550" i="1"/>
  <c r="B550" i="1"/>
  <c r="A550" i="1"/>
  <c r="F549" i="1"/>
  <c r="E549" i="1"/>
  <c r="D549" i="1"/>
  <c r="C549" i="1"/>
  <c r="B549" i="1"/>
  <c r="A549" i="1"/>
  <c r="F548" i="1"/>
  <c r="E548" i="1"/>
  <c r="D548" i="1"/>
  <c r="C548" i="1"/>
  <c r="B548" i="1"/>
  <c r="A548" i="1"/>
  <c r="F547" i="1"/>
  <c r="E547" i="1"/>
  <c r="D547" i="1"/>
  <c r="C547" i="1"/>
  <c r="B547" i="1"/>
  <c r="A547" i="1"/>
  <c r="F546" i="1"/>
  <c r="E546" i="1"/>
  <c r="D546" i="1"/>
  <c r="C546" i="1"/>
  <c r="B546" i="1"/>
  <c r="A546" i="1"/>
  <c r="F545" i="1"/>
  <c r="E545" i="1"/>
  <c r="D545" i="1"/>
  <c r="C545" i="1"/>
  <c r="B545" i="1"/>
  <c r="A545" i="1"/>
  <c r="F544" i="1"/>
  <c r="E544" i="1"/>
  <c r="D544" i="1"/>
  <c r="C544" i="1"/>
  <c r="B544" i="1"/>
  <c r="A544" i="1"/>
  <c r="F543" i="1"/>
  <c r="E543" i="1"/>
  <c r="D543" i="1"/>
  <c r="C543" i="1"/>
  <c r="B543" i="1"/>
  <c r="A543" i="1"/>
  <c r="F542" i="1"/>
  <c r="E542" i="1"/>
  <c r="D542" i="1"/>
  <c r="C542" i="1"/>
  <c r="B542" i="1"/>
  <c r="A542" i="1"/>
  <c r="F541" i="1"/>
  <c r="E541" i="1"/>
  <c r="D541" i="1"/>
  <c r="C541" i="1"/>
  <c r="B541" i="1"/>
  <c r="A541" i="1"/>
  <c r="F540" i="1"/>
  <c r="E540" i="1"/>
  <c r="D540" i="1"/>
  <c r="C540" i="1"/>
  <c r="B540" i="1"/>
  <c r="A540" i="1"/>
  <c r="F539" i="1"/>
  <c r="E539" i="1"/>
  <c r="D539" i="1"/>
  <c r="C539" i="1"/>
  <c r="B539" i="1"/>
  <c r="A539" i="1"/>
  <c r="F538" i="1"/>
  <c r="E538" i="1"/>
  <c r="D538" i="1"/>
  <c r="C538" i="1"/>
  <c r="B538" i="1"/>
  <c r="A538" i="1"/>
  <c r="F537" i="1"/>
  <c r="E537" i="1"/>
  <c r="D537" i="1"/>
  <c r="C537" i="1"/>
  <c r="B537" i="1"/>
  <c r="A537" i="1"/>
  <c r="F536" i="1"/>
  <c r="E536" i="1"/>
  <c r="D536" i="1"/>
  <c r="C536" i="1"/>
  <c r="B536" i="1"/>
  <c r="A536" i="1"/>
  <c r="F535" i="1"/>
  <c r="E535" i="1"/>
  <c r="D535" i="1"/>
  <c r="C535" i="1"/>
  <c r="B535" i="1"/>
  <c r="A535" i="1"/>
  <c r="F534" i="1"/>
  <c r="E534" i="1"/>
  <c r="D534" i="1"/>
  <c r="C534" i="1"/>
  <c r="B534" i="1"/>
  <c r="A534" i="1"/>
  <c r="F533" i="1"/>
  <c r="E533" i="1"/>
  <c r="D533" i="1"/>
  <c r="C533" i="1"/>
  <c r="B533" i="1"/>
  <c r="A533" i="1"/>
  <c r="F532" i="1"/>
  <c r="E532" i="1"/>
  <c r="D532" i="1"/>
  <c r="C532" i="1"/>
  <c r="B532" i="1"/>
  <c r="A532" i="1"/>
  <c r="F531" i="1"/>
  <c r="E531" i="1"/>
  <c r="D531" i="1"/>
  <c r="C531" i="1"/>
  <c r="B531" i="1"/>
  <c r="A531" i="1"/>
  <c r="F530" i="1"/>
  <c r="E530" i="1"/>
  <c r="D530" i="1"/>
  <c r="C530" i="1"/>
  <c r="B530" i="1"/>
  <c r="A530" i="1"/>
  <c r="F529" i="1"/>
  <c r="E529" i="1"/>
  <c r="D529" i="1"/>
  <c r="C529" i="1"/>
  <c r="B529" i="1"/>
  <c r="A529" i="1"/>
  <c r="F528" i="1"/>
  <c r="E528" i="1"/>
  <c r="D528" i="1"/>
  <c r="C528" i="1"/>
  <c r="B528" i="1"/>
  <c r="A528" i="1"/>
  <c r="F527" i="1"/>
  <c r="E527" i="1"/>
  <c r="D527" i="1"/>
  <c r="C527" i="1"/>
  <c r="B527" i="1"/>
  <c r="A527" i="1"/>
  <c r="F526" i="1"/>
  <c r="E526" i="1"/>
  <c r="D526" i="1"/>
  <c r="C526" i="1"/>
  <c r="B526" i="1"/>
  <c r="A526" i="1"/>
  <c r="F525" i="1"/>
  <c r="E525" i="1"/>
  <c r="D525" i="1"/>
  <c r="C525" i="1"/>
  <c r="B525" i="1"/>
  <c r="A525" i="1"/>
  <c r="F524" i="1"/>
  <c r="E524" i="1"/>
  <c r="D524" i="1"/>
  <c r="C524" i="1"/>
  <c r="B524" i="1"/>
  <c r="A524" i="1"/>
  <c r="F523" i="1"/>
  <c r="E523" i="1"/>
  <c r="D523" i="1"/>
  <c r="C523" i="1"/>
  <c r="B523" i="1"/>
  <c r="A523" i="1"/>
  <c r="F522" i="1"/>
  <c r="E522" i="1"/>
  <c r="D522" i="1"/>
  <c r="C522" i="1"/>
  <c r="B522" i="1"/>
  <c r="A522" i="1"/>
  <c r="F521" i="1"/>
  <c r="E521" i="1"/>
  <c r="D521" i="1"/>
  <c r="C521" i="1"/>
  <c r="B521" i="1"/>
  <c r="A521" i="1"/>
  <c r="F520" i="1"/>
  <c r="E520" i="1"/>
  <c r="D520" i="1"/>
  <c r="C520" i="1"/>
  <c r="B520" i="1"/>
  <c r="A520" i="1"/>
  <c r="F519" i="1"/>
  <c r="E519" i="1"/>
  <c r="D519" i="1"/>
  <c r="C519" i="1"/>
  <c r="B519" i="1"/>
  <c r="A519" i="1"/>
  <c r="F518" i="1"/>
  <c r="E518" i="1"/>
  <c r="D518" i="1"/>
  <c r="C518" i="1"/>
  <c r="B518" i="1"/>
  <c r="A518" i="1"/>
  <c r="F517" i="1"/>
  <c r="E517" i="1"/>
  <c r="D517" i="1"/>
  <c r="C517" i="1"/>
  <c r="B517" i="1"/>
  <c r="A517" i="1"/>
  <c r="F516" i="1"/>
  <c r="E516" i="1"/>
  <c r="D516" i="1"/>
  <c r="C516" i="1"/>
  <c r="B516" i="1"/>
  <c r="A516" i="1"/>
  <c r="F515" i="1"/>
  <c r="E515" i="1"/>
  <c r="D515" i="1"/>
  <c r="C515" i="1"/>
  <c r="B515" i="1"/>
  <c r="A515" i="1"/>
  <c r="F514" i="1"/>
  <c r="E514" i="1"/>
  <c r="D514" i="1"/>
  <c r="C514" i="1"/>
  <c r="B514" i="1"/>
  <c r="A514" i="1"/>
  <c r="F513" i="1"/>
  <c r="E513" i="1"/>
  <c r="D513" i="1"/>
  <c r="C513" i="1"/>
  <c r="B513" i="1"/>
  <c r="A513" i="1"/>
  <c r="F512" i="1"/>
  <c r="E512" i="1"/>
  <c r="D512" i="1"/>
  <c r="C512" i="1"/>
  <c r="B512" i="1"/>
  <c r="A512" i="1"/>
  <c r="F511" i="1"/>
  <c r="E511" i="1"/>
  <c r="D511" i="1"/>
  <c r="C511" i="1"/>
  <c r="B511" i="1"/>
  <c r="A511" i="1"/>
  <c r="F510" i="1"/>
  <c r="E510" i="1"/>
  <c r="D510" i="1"/>
  <c r="C510" i="1"/>
  <c r="B510" i="1"/>
  <c r="A510" i="1"/>
  <c r="F509" i="1"/>
  <c r="E509" i="1"/>
  <c r="D509" i="1"/>
  <c r="C509" i="1"/>
  <c r="B509" i="1"/>
  <c r="A509" i="1"/>
  <c r="F508" i="1"/>
  <c r="E508" i="1"/>
  <c r="D508" i="1"/>
  <c r="C508" i="1"/>
  <c r="B508" i="1"/>
  <c r="A508" i="1"/>
  <c r="F507" i="1"/>
  <c r="E507" i="1"/>
  <c r="D507" i="1"/>
  <c r="C507" i="1"/>
  <c r="B507" i="1"/>
  <c r="A507" i="1"/>
  <c r="F506" i="1"/>
  <c r="E506" i="1"/>
  <c r="D506" i="1"/>
  <c r="C506" i="1"/>
  <c r="B506" i="1"/>
  <c r="A506" i="1"/>
  <c r="F505" i="1"/>
  <c r="E505" i="1"/>
  <c r="D505" i="1"/>
  <c r="C505" i="1"/>
  <c r="B505" i="1"/>
  <c r="A505" i="1"/>
  <c r="F504" i="1"/>
  <c r="E504" i="1"/>
  <c r="D504" i="1"/>
  <c r="C504" i="1"/>
  <c r="B504" i="1"/>
  <c r="A504" i="1"/>
  <c r="F503" i="1"/>
  <c r="E503" i="1"/>
  <c r="D503" i="1"/>
  <c r="C503" i="1"/>
  <c r="B503" i="1"/>
  <c r="A503" i="1"/>
  <c r="F502" i="1"/>
  <c r="E502" i="1"/>
  <c r="D502" i="1"/>
  <c r="C502" i="1"/>
  <c r="B502" i="1"/>
  <c r="A502" i="1"/>
  <c r="F501" i="1"/>
  <c r="E501" i="1"/>
  <c r="D501" i="1"/>
  <c r="C501" i="1"/>
  <c r="B501" i="1"/>
  <c r="A501" i="1"/>
  <c r="F500" i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<sst xmlns="http://schemas.openxmlformats.org/spreadsheetml/2006/main" count="24" uniqueCount="6">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</sst>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6" formatCode="yyyy\-mm\-dd;@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6" fontId="0" fillId="0" borderId="0" xfId="0" applyNumberFormat="1" applyFont="1" applyAlignme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07"/>
  <sheetViews>
    <sheetView tabSelected="1" workbookViewId="0"/>
  </sheetViews>
  <sheetFormatPr baseColWidth="10" defaultColWidth="14.5" defaultRowHeight="15.75" customHeight="1" x14ac:dyDescent="0.15"/>
  <cols>
    <col min="1" max="1" width="18.1640625" customWidth="1"/>
    <col min="2" max="5" width="7.83203125" customWidth="1"/>
    <col min="6" max="6" width="11.5" customWidth="1"/>
  </cols>
  <sheetData>
    <row r="1" spans="1:6" ht="15.75" customHeight="1" x14ac:dyDescent="0.15">
      <c r="A1" s="1" t="str">
        <f ca="1">IFERROR(__xludf.DUMMYFUNCTION("GOOGLEFINANCE("".INX"",""all"", ""5/7/2015"", ""9/30/2017"", ""DAILY"")"),"Date")</f>
        <v>Date</v>
      </c>
      <c r="B1" s="1" t="str">
        <f ca="1">IFERROR(__xludf.DUMMYFUNCTION("""COMPUTED_VALUE"""),"Open")</f>
        <v>Open</v>
      </c>
      <c r="C1" s="1" t="str">
        <f ca="1">IFERROR(__xludf.DUMMYFUNCTION("""COMPUTED_VALUE"""),"High")</f>
        <v>High</v>
      </c>
      <c r="D1" s="1" t="str">
        <f ca="1">IFERROR(__xludf.DUMMYFUNCTION("""COMPUTED_VALUE"""),"Low")</f>
        <v>Low</v>
      </c>
      <c r="E1" s="1" t="str">
        <f ca="1">IFERROR(__xludf.DUMMYFUNCTION("""COMPUTED_VALUE"""),"Close")</f>
        <v>Close</v>
      </c>
      <c r="F1" s="1" t="str">
        <f ca="1">IFERROR(__xludf.DUMMYFUNCTION("""COMPUTED_VALUE"""),"Volume")</f>
        <v>Volume</v>
      </c>
    </row>
    <row r="2" spans="1:6" ht="15.75" customHeight="1" x14ac:dyDescent="0.15">
      <c r="A2" s="2">
        <f ca="1">IFERROR(__xludf.DUMMYFUNCTION("""COMPUTED_VALUE"""),42131.6666666666)</f>
        <v>42131.666666666599</v>
      </c>
      <c r="B2" s="1">
        <f ca="1">IFERROR(__xludf.DUMMYFUNCTION("""COMPUTED_VALUE"""),2079.96)</f>
        <v>2079.96</v>
      </c>
      <c r="C2" s="1">
        <f ca="1">IFERROR(__xludf.DUMMYFUNCTION("""COMPUTED_VALUE"""),2092.9)</f>
        <v>2092.9</v>
      </c>
      <c r="D2" s="1">
        <f ca="1">IFERROR(__xludf.DUMMYFUNCTION("""COMPUTED_VALUE"""),2074.99)</f>
        <v>2074.9899999999998</v>
      </c>
      <c r="E2" s="1">
        <f ca="1">IFERROR(__xludf.DUMMYFUNCTION("""COMPUTED_VALUE"""),2088)</f>
        <v>2088</v>
      </c>
      <c r="F2" s="1">
        <f ca="1">IFERROR(__xludf.DUMMYFUNCTION("""COMPUTED_VALUE"""),523758356)</f>
        <v>523758356</v>
      </c>
    </row>
    <row r="3" spans="1:6" ht="15.75" customHeight="1" x14ac:dyDescent="0.15">
      <c r="A3" s="2">
        <f ca="1">IFERROR(__xludf.DUMMYFUNCTION("""COMPUTED_VALUE"""),42132.6666666666)</f>
        <v>42132.666666666599</v>
      </c>
      <c r="B3" s="1">
        <f ca="1">IFERROR(__xludf.DUMMYFUNCTION("""COMPUTED_VALUE"""),2092.13)</f>
        <v>2092.13</v>
      </c>
      <c r="C3" s="1">
        <f ca="1">IFERROR(__xludf.DUMMYFUNCTION("""COMPUTED_VALUE"""),2117.66)</f>
        <v>2117.66</v>
      </c>
      <c r="D3" s="1">
        <f ca="1">IFERROR(__xludf.DUMMYFUNCTION("""COMPUTED_VALUE"""),2092.13)</f>
        <v>2092.13</v>
      </c>
      <c r="E3" s="1">
        <f ca="1">IFERROR(__xludf.DUMMYFUNCTION("""COMPUTED_VALUE"""),2116.1)</f>
        <v>2116.1</v>
      </c>
      <c r="F3" s="1">
        <f ca="1">IFERROR(__xludf.DUMMYFUNCTION("""COMPUTED_VALUE"""),524517688)</f>
        <v>524517688</v>
      </c>
    </row>
    <row r="4" spans="1:6" ht="15.75" customHeight="1" x14ac:dyDescent="0.15">
      <c r="A4" s="2">
        <f ca="1">IFERROR(__xludf.DUMMYFUNCTION("""COMPUTED_VALUE"""),42135.6666666666)</f>
        <v>42135.666666666599</v>
      </c>
      <c r="B4" s="1">
        <f ca="1">IFERROR(__xludf.DUMMYFUNCTION("""COMPUTED_VALUE"""),2115.56)</f>
        <v>2115.56</v>
      </c>
      <c r="C4" s="1">
        <f ca="1">IFERROR(__xludf.DUMMYFUNCTION("""COMPUTED_VALUE"""),2117.69)</f>
        <v>2117.69</v>
      </c>
      <c r="D4" s="1">
        <f ca="1">IFERROR(__xludf.DUMMYFUNCTION("""COMPUTED_VALUE"""),2104.58)</f>
        <v>2104.58</v>
      </c>
      <c r="E4" s="1">
        <f ca="1">IFERROR(__xludf.DUMMYFUNCTION("""COMPUTED_VALUE"""),2105.33)</f>
        <v>2105.33</v>
      </c>
      <c r="F4" s="1">
        <f ca="1">IFERROR(__xludf.DUMMYFUNCTION("""COMPUTED_VALUE"""),467022504)</f>
        <v>467022504</v>
      </c>
    </row>
    <row r="5" spans="1:6" ht="15.75" customHeight="1" x14ac:dyDescent="0.15">
      <c r="A5" s="2">
        <f ca="1">IFERROR(__xludf.DUMMYFUNCTION("""COMPUTED_VALUE"""),42136.6666666666)</f>
        <v>42136.666666666599</v>
      </c>
      <c r="B5" s="1">
        <f ca="1">IFERROR(__xludf.DUMMYFUNCTION("""COMPUTED_VALUE"""),2102.87)</f>
        <v>2102.87</v>
      </c>
      <c r="C5" s="1">
        <f ca="1">IFERROR(__xludf.DUMMYFUNCTION("""COMPUTED_VALUE"""),2105.06)</f>
        <v>2105.06</v>
      </c>
      <c r="D5" s="1">
        <f ca="1">IFERROR(__xludf.DUMMYFUNCTION("""COMPUTED_VALUE"""),2085.57)</f>
        <v>2085.5700000000002</v>
      </c>
      <c r="E5" s="1">
        <f ca="1">IFERROR(__xludf.DUMMYFUNCTION("""COMPUTED_VALUE"""),2099.12)</f>
        <v>2099.12</v>
      </c>
      <c r="F5" s="1">
        <f ca="1">IFERROR(__xludf.DUMMYFUNCTION("""COMPUTED_VALUE"""),468682965)</f>
        <v>468682965</v>
      </c>
    </row>
    <row r="6" spans="1:6" ht="15.75" customHeight="1" x14ac:dyDescent="0.15">
      <c r="A6" s="2">
        <f ca="1">IFERROR(__xludf.DUMMYFUNCTION("""COMPUTED_VALUE"""),42137.6666666666)</f>
        <v>42137.666666666599</v>
      </c>
      <c r="B6" s="1">
        <f ca="1">IFERROR(__xludf.DUMMYFUNCTION("""COMPUTED_VALUE"""),2099.62)</f>
        <v>2099.62</v>
      </c>
      <c r="C6" s="1">
        <f ca="1">IFERROR(__xludf.DUMMYFUNCTION("""COMPUTED_VALUE"""),2110.19)</f>
        <v>2110.19</v>
      </c>
      <c r="D6" s="1">
        <f ca="1">IFERROR(__xludf.DUMMYFUNCTION("""COMPUTED_VALUE"""),2096.04)</f>
        <v>2096.04</v>
      </c>
      <c r="E6" s="1">
        <f ca="1">IFERROR(__xludf.DUMMYFUNCTION("""COMPUTED_VALUE"""),2098.48)</f>
        <v>2098.48</v>
      </c>
      <c r="F6" s="1">
        <f ca="1">IFERROR(__xludf.DUMMYFUNCTION("""COMPUTED_VALUE"""),473510272)</f>
        <v>473510272</v>
      </c>
    </row>
    <row r="7" spans="1:6" ht="15.75" customHeight="1" x14ac:dyDescent="0.15">
      <c r="A7" s="2">
        <f ca="1">IFERROR(__xludf.DUMMYFUNCTION("""COMPUTED_VALUE"""),42138.6666666666)</f>
        <v>42138.666666666599</v>
      </c>
      <c r="B7" s="1">
        <f ca="1">IFERROR(__xludf.DUMMYFUNCTION("""COMPUTED_VALUE"""),2100.43)</f>
        <v>2100.4299999999998</v>
      </c>
      <c r="C7" s="1">
        <f ca="1">IFERROR(__xludf.DUMMYFUNCTION("""COMPUTED_VALUE"""),2121.45)</f>
        <v>2121.4499999999998</v>
      </c>
      <c r="D7" s="1">
        <f ca="1">IFERROR(__xludf.DUMMYFUNCTION("""COMPUTED_VALUE"""),2100.43)</f>
        <v>2100.4299999999998</v>
      </c>
      <c r="E7" s="1">
        <f ca="1">IFERROR(__xludf.DUMMYFUNCTION("""COMPUTED_VALUE"""),2121.1)</f>
        <v>2121.1</v>
      </c>
      <c r="F7" s="1">
        <f ca="1">IFERROR(__xludf.DUMMYFUNCTION("""COMPUTED_VALUE"""),477949241)</f>
        <v>477949241</v>
      </c>
    </row>
    <row r="8" spans="1:6" ht="15.75" customHeight="1" x14ac:dyDescent="0.15">
      <c r="A8" s="2">
        <f ca="1">IFERROR(__xludf.DUMMYFUNCTION("""COMPUTED_VALUE"""),42139.6666666666)</f>
        <v>42139.666666666599</v>
      </c>
      <c r="B8" s="1">
        <f ca="1">IFERROR(__xludf.DUMMYFUNCTION("""COMPUTED_VALUE"""),2122.07)</f>
        <v>2122.0700000000002</v>
      </c>
      <c r="C8" s="1">
        <f ca="1">IFERROR(__xludf.DUMMYFUNCTION("""COMPUTED_VALUE"""),2123.89)</f>
        <v>2123.89</v>
      </c>
      <c r="D8" s="1">
        <f ca="1">IFERROR(__xludf.DUMMYFUNCTION("""COMPUTED_VALUE"""),2116.79)</f>
        <v>2116.79</v>
      </c>
      <c r="E8" s="1">
        <f ca="1">IFERROR(__xludf.DUMMYFUNCTION("""COMPUTED_VALUE"""),2122.73)</f>
        <v>2122.73</v>
      </c>
      <c r="F8" s="1">
        <f ca="1">IFERROR(__xludf.DUMMYFUNCTION("""COMPUTED_VALUE"""),609123759)</f>
        <v>609123759</v>
      </c>
    </row>
    <row r="9" spans="1:6" ht="15.75" customHeight="1" x14ac:dyDescent="0.15">
      <c r="A9" s="2">
        <f ca="1">IFERROR(__xludf.DUMMYFUNCTION("""COMPUTED_VALUE"""),42142.6666666666)</f>
        <v>42142.666666666599</v>
      </c>
      <c r="B9" s="1">
        <f ca="1">IFERROR(__xludf.DUMMYFUNCTION("""COMPUTED_VALUE"""),2121.3)</f>
        <v>2121.3000000000002</v>
      </c>
      <c r="C9" s="1">
        <f ca="1">IFERROR(__xludf.DUMMYFUNCTION("""COMPUTED_VALUE"""),2131.78)</f>
        <v>2131.7800000000002</v>
      </c>
      <c r="D9" s="1">
        <f ca="1">IFERROR(__xludf.DUMMYFUNCTION("""COMPUTED_VALUE"""),2120.01)</f>
        <v>2120.0100000000002</v>
      </c>
      <c r="E9" s="1">
        <f ca="1">IFERROR(__xludf.DUMMYFUNCTION("""COMPUTED_VALUE"""),2129.2)</f>
        <v>2129.1999999999998</v>
      </c>
      <c r="F9" s="1">
        <f ca="1">IFERROR(__xludf.DUMMYFUNCTION("""COMPUTED_VALUE"""),444239990)</f>
        <v>444239990</v>
      </c>
    </row>
    <row r="10" spans="1:6" ht="15.75" customHeight="1" x14ac:dyDescent="0.15">
      <c r="A10" s="2">
        <f ca="1">IFERROR(__xludf.DUMMYFUNCTION("""COMPUTED_VALUE"""),42143.6666666666)</f>
        <v>42143.666666666599</v>
      </c>
      <c r="B10" s="1">
        <f ca="1">IFERROR(__xludf.DUMMYFUNCTION("""COMPUTED_VALUE"""),2129.45)</f>
        <v>2129.4499999999998</v>
      </c>
      <c r="C10" s="1">
        <f ca="1">IFERROR(__xludf.DUMMYFUNCTION("""COMPUTED_VALUE"""),2133.02)</f>
        <v>2133.02</v>
      </c>
      <c r="D10" s="1">
        <f ca="1">IFERROR(__xludf.DUMMYFUNCTION("""COMPUTED_VALUE"""),2124.5)</f>
        <v>2124.5</v>
      </c>
      <c r="E10" s="1">
        <f ca="1">IFERROR(__xludf.DUMMYFUNCTION("""COMPUTED_VALUE"""),2127.83)</f>
        <v>2127.83</v>
      </c>
      <c r="F10" s="1">
        <f ca="1">IFERROR(__xludf.DUMMYFUNCTION("""COMPUTED_VALUE"""),493349176)</f>
        <v>493349176</v>
      </c>
    </row>
    <row r="11" spans="1:6" ht="15.75" customHeight="1" x14ac:dyDescent="0.15">
      <c r="A11" s="2">
        <f ca="1">IFERROR(__xludf.DUMMYFUNCTION("""COMPUTED_VALUE"""),42144.6666666666)</f>
        <v>42144.666666666599</v>
      </c>
      <c r="B11" s="1">
        <f ca="1">IFERROR(__xludf.DUMMYFUNCTION("""COMPUTED_VALUE"""),2127.79)</f>
        <v>2127.79</v>
      </c>
      <c r="C11" s="1">
        <f ca="1">IFERROR(__xludf.DUMMYFUNCTION("""COMPUTED_VALUE"""),2134.72)</f>
        <v>2134.7199999999998</v>
      </c>
      <c r="D11" s="1">
        <f ca="1">IFERROR(__xludf.DUMMYFUNCTION("""COMPUTED_VALUE"""),2122.59)</f>
        <v>2122.59</v>
      </c>
      <c r="E11" s="1">
        <f ca="1">IFERROR(__xludf.DUMMYFUNCTION("""COMPUTED_VALUE"""),2125.85)</f>
        <v>2125.85</v>
      </c>
      <c r="F11" s="1">
        <f ca="1">IFERROR(__xludf.DUMMYFUNCTION("""COMPUTED_VALUE"""),477723201)</f>
        <v>477723201</v>
      </c>
    </row>
    <row r="12" spans="1:6" ht="15.75" customHeight="1" x14ac:dyDescent="0.15">
      <c r="A12" s="2">
        <f ca="1">IFERROR(__xludf.DUMMYFUNCTION("""COMPUTED_VALUE"""),42145.6666666666)</f>
        <v>42145.666666666599</v>
      </c>
      <c r="B12" s="1">
        <f ca="1">IFERROR(__xludf.DUMMYFUNCTION("""COMPUTED_VALUE"""),2125.55)</f>
        <v>2125.5500000000002</v>
      </c>
      <c r="C12" s="1">
        <f ca="1">IFERROR(__xludf.DUMMYFUNCTION("""COMPUTED_VALUE"""),2134.28)</f>
        <v>2134.2800000000002</v>
      </c>
      <c r="D12" s="1">
        <f ca="1">IFERROR(__xludf.DUMMYFUNCTION("""COMPUTED_VALUE"""),2122.95)</f>
        <v>2122.9499999999998</v>
      </c>
      <c r="E12" s="1">
        <f ca="1">IFERROR(__xludf.DUMMYFUNCTION("""COMPUTED_VALUE"""),2130.82)</f>
        <v>2130.8200000000002</v>
      </c>
      <c r="F12" s="1">
        <f ca="1">IFERROR(__xludf.DUMMYFUNCTION("""COMPUTED_VALUE"""),468557139)</f>
        <v>468557139</v>
      </c>
    </row>
    <row r="13" spans="1:6" ht="15.75" customHeight="1" x14ac:dyDescent="0.15">
      <c r="A13" s="2">
        <f ca="1">IFERROR(__xludf.DUMMYFUNCTION("""COMPUTED_VALUE"""),42146.6666666666)</f>
        <v>42146.666666666599</v>
      </c>
      <c r="B13" s="1">
        <f ca="1">IFERROR(__xludf.DUMMYFUNCTION("""COMPUTED_VALUE"""),2130.36)</f>
        <v>2130.36</v>
      </c>
      <c r="C13" s="1">
        <f ca="1">IFERROR(__xludf.DUMMYFUNCTION("""COMPUTED_VALUE"""),2132.15)</f>
        <v>2132.15</v>
      </c>
      <c r="D13" s="1">
        <f ca="1">IFERROR(__xludf.DUMMYFUNCTION("""COMPUTED_VALUE"""),2126.06)</f>
        <v>2126.06</v>
      </c>
      <c r="E13" s="1">
        <f ca="1">IFERROR(__xludf.DUMMYFUNCTION("""COMPUTED_VALUE"""),2126.06)</f>
        <v>2126.06</v>
      </c>
      <c r="F13" s="1">
        <f ca="1">IFERROR(__xludf.DUMMYFUNCTION("""COMPUTED_VALUE"""),423419513)</f>
        <v>423419513</v>
      </c>
    </row>
    <row r="14" spans="1:6" ht="15.75" customHeight="1" x14ac:dyDescent="0.15">
      <c r="A14" s="2">
        <f ca="1">IFERROR(__xludf.DUMMYFUNCTION("""COMPUTED_VALUE"""),42150.6666666666)</f>
        <v>42150.666666666599</v>
      </c>
      <c r="B14" s="1">
        <f ca="1">IFERROR(__xludf.DUMMYFUNCTION("""COMPUTED_VALUE"""),2125.34)</f>
        <v>2125.34</v>
      </c>
      <c r="C14" s="1">
        <f ca="1">IFERROR(__xludf.DUMMYFUNCTION("""COMPUTED_VALUE"""),2125.34)</f>
        <v>2125.34</v>
      </c>
      <c r="D14" s="1">
        <f ca="1">IFERROR(__xludf.DUMMYFUNCTION("""COMPUTED_VALUE"""),2099.18)</f>
        <v>2099.1799999999998</v>
      </c>
      <c r="E14" s="1">
        <f ca="1">IFERROR(__xludf.DUMMYFUNCTION("""COMPUTED_VALUE"""),2104.2)</f>
        <v>2104.1999999999998</v>
      </c>
      <c r="F14" s="1">
        <f ca="1">IFERROR(__xludf.DUMMYFUNCTION("""COMPUTED_VALUE"""),557833108)</f>
        <v>557833108</v>
      </c>
    </row>
    <row r="15" spans="1:6" ht="15.75" customHeight="1" x14ac:dyDescent="0.15">
      <c r="A15" s="2">
        <f ca="1">IFERROR(__xludf.DUMMYFUNCTION("""COMPUTED_VALUE"""),42151.6666666666)</f>
        <v>42151.666666666599</v>
      </c>
      <c r="B15" s="1">
        <f ca="1">IFERROR(__xludf.DUMMYFUNCTION("""COMPUTED_VALUE"""),2105.13)</f>
        <v>2105.13</v>
      </c>
      <c r="C15" s="1">
        <f ca="1">IFERROR(__xludf.DUMMYFUNCTION("""COMPUTED_VALUE"""),2126.22)</f>
        <v>2126.2199999999998</v>
      </c>
      <c r="D15" s="1">
        <f ca="1">IFERROR(__xludf.DUMMYFUNCTION("""COMPUTED_VALUE"""),2105.13)</f>
        <v>2105.13</v>
      </c>
      <c r="E15" s="1">
        <f ca="1">IFERROR(__xludf.DUMMYFUNCTION("""COMPUTED_VALUE"""),2123.48)</f>
        <v>2123.48</v>
      </c>
      <c r="F15" s="1">
        <f ca="1">IFERROR(__xludf.DUMMYFUNCTION("""COMPUTED_VALUE"""),511248450)</f>
        <v>511248450</v>
      </c>
    </row>
    <row r="16" spans="1:6" ht="15.75" customHeight="1" x14ac:dyDescent="0.15">
      <c r="A16" s="2">
        <f ca="1">IFERROR(__xludf.DUMMYFUNCTION("""COMPUTED_VALUE"""),42152.6666666666)</f>
        <v>42152.666666666599</v>
      </c>
      <c r="B16" s="1">
        <f ca="1">IFERROR(__xludf.DUMMYFUNCTION("""COMPUTED_VALUE"""),2122.27)</f>
        <v>2122.27</v>
      </c>
      <c r="C16" s="1">
        <f ca="1">IFERROR(__xludf.DUMMYFUNCTION("""COMPUTED_VALUE"""),2122.27)</f>
        <v>2122.27</v>
      </c>
      <c r="D16" s="1">
        <f ca="1">IFERROR(__xludf.DUMMYFUNCTION("""COMPUTED_VALUE"""),2112.86)</f>
        <v>2112.86</v>
      </c>
      <c r="E16" s="1">
        <f ca="1">IFERROR(__xludf.DUMMYFUNCTION("""COMPUTED_VALUE"""),2120.79)</f>
        <v>2120.79</v>
      </c>
      <c r="F16" s="1">
        <f ca="1">IFERROR(__xludf.DUMMYFUNCTION("""COMPUTED_VALUE"""),434135669)</f>
        <v>434135669</v>
      </c>
    </row>
    <row r="17" spans="1:6" ht="15.75" customHeight="1" x14ac:dyDescent="0.15">
      <c r="A17" s="2">
        <f ca="1">IFERROR(__xludf.DUMMYFUNCTION("""COMPUTED_VALUE"""),42153.6666666666)</f>
        <v>42153.666666666599</v>
      </c>
      <c r="B17" s="1">
        <f ca="1">IFERROR(__xludf.DUMMYFUNCTION("""COMPUTED_VALUE"""),2120.66)</f>
        <v>2120.66</v>
      </c>
      <c r="C17" s="1">
        <f ca="1">IFERROR(__xludf.DUMMYFUNCTION("""COMPUTED_VALUE"""),2120.66)</f>
        <v>2120.66</v>
      </c>
      <c r="D17" s="1">
        <f ca="1">IFERROR(__xludf.DUMMYFUNCTION("""COMPUTED_VALUE"""),2104.89)</f>
        <v>2104.89</v>
      </c>
      <c r="E17" s="1">
        <f ca="1">IFERROR(__xludf.DUMMYFUNCTION("""COMPUTED_VALUE"""),2107.39)</f>
        <v>2107.39</v>
      </c>
      <c r="F17" s="1">
        <f ca="1">IFERROR(__xludf.DUMMYFUNCTION("""COMPUTED_VALUE"""),760129761)</f>
        <v>760129761</v>
      </c>
    </row>
    <row r="18" spans="1:6" ht="15.75" customHeight="1" x14ac:dyDescent="0.15">
      <c r="A18" s="2">
        <f ca="1">IFERROR(__xludf.DUMMYFUNCTION("""COMPUTED_VALUE"""),42156.6666666666)</f>
        <v>42156.666666666599</v>
      </c>
      <c r="B18" s="1">
        <f ca="1">IFERROR(__xludf.DUMMYFUNCTION("""COMPUTED_VALUE"""),2108.64)</f>
        <v>2108.64</v>
      </c>
      <c r="C18" s="1">
        <f ca="1">IFERROR(__xludf.DUMMYFUNCTION("""COMPUTED_VALUE"""),2119.15)</f>
        <v>2119.15</v>
      </c>
      <c r="D18" s="1">
        <f ca="1">IFERROR(__xludf.DUMMYFUNCTION("""COMPUTED_VALUE"""),2102.54)</f>
        <v>2102.54</v>
      </c>
      <c r="E18" s="1">
        <f ca="1">IFERROR(__xludf.DUMMYFUNCTION("""COMPUTED_VALUE"""),2111.73)</f>
        <v>2111.73</v>
      </c>
      <c r="F18" s="1">
        <f ca="1">IFERROR(__xludf.DUMMYFUNCTION("""COMPUTED_VALUE"""),488083175)</f>
        <v>488083175</v>
      </c>
    </row>
    <row r="19" spans="1:6" ht="15.75" customHeight="1" x14ac:dyDescent="0.15">
      <c r="A19" s="2">
        <f ca="1">IFERROR(__xludf.DUMMYFUNCTION("""COMPUTED_VALUE"""),42157.6666666666)</f>
        <v>42157.666666666599</v>
      </c>
      <c r="B19" s="1">
        <f ca="1">IFERROR(__xludf.DUMMYFUNCTION("""COMPUTED_VALUE"""),2110.41)</f>
        <v>2110.41</v>
      </c>
      <c r="C19" s="1">
        <f ca="1">IFERROR(__xludf.DUMMYFUNCTION("""COMPUTED_VALUE"""),2117.59)</f>
        <v>2117.59</v>
      </c>
      <c r="D19" s="1">
        <f ca="1">IFERROR(__xludf.DUMMYFUNCTION("""COMPUTED_VALUE"""),2099.14)</f>
        <v>2099.14</v>
      </c>
      <c r="E19" s="1">
        <f ca="1">IFERROR(__xludf.DUMMYFUNCTION("""COMPUTED_VALUE"""),2109.6)</f>
        <v>2109.6</v>
      </c>
      <c r="F19" s="1">
        <f ca="1">IFERROR(__xludf.DUMMYFUNCTION("""COMPUTED_VALUE"""),471166195)</f>
        <v>471166195</v>
      </c>
    </row>
    <row r="20" spans="1:6" ht="15.75" customHeight="1" x14ac:dyDescent="0.15">
      <c r="A20" s="2">
        <f ca="1">IFERROR(__xludf.DUMMYFUNCTION("""COMPUTED_VALUE"""),42158.6666666666)</f>
        <v>42158.666666666599</v>
      </c>
      <c r="B20" s="1">
        <f ca="1">IFERROR(__xludf.DUMMYFUNCTION("""COMPUTED_VALUE"""),2110.64)</f>
        <v>2110.64</v>
      </c>
      <c r="C20" s="1">
        <f ca="1">IFERROR(__xludf.DUMMYFUNCTION("""COMPUTED_VALUE"""),2121.92)</f>
        <v>2121.92</v>
      </c>
      <c r="D20" s="1">
        <f ca="1">IFERROR(__xludf.DUMMYFUNCTION("""COMPUTED_VALUE"""),2109.61)</f>
        <v>2109.61</v>
      </c>
      <c r="E20" s="1">
        <f ca="1">IFERROR(__xludf.DUMMYFUNCTION("""COMPUTED_VALUE"""),2114.07)</f>
        <v>2114.0700000000002</v>
      </c>
      <c r="F20" s="1">
        <f ca="1">IFERROR(__xludf.DUMMYFUNCTION("""COMPUTED_VALUE"""),464527279)</f>
        <v>464527279</v>
      </c>
    </row>
    <row r="21" spans="1:6" ht="15.75" customHeight="1" x14ac:dyDescent="0.15">
      <c r="A21" s="2">
        <f ca="1">IFERROR(__xludf.DUMMYFUNCTION("""COMPUTED_VALUE"""),42159.6666666666)</f>
        <v>42159.666666666599</v>
      </c>
      <c r="B21" s="1">
        <f ca="1">IFERROR(__xludf.DUMMYFUNCTION("""COMPUTED_VALUE"""),2112.35)</f>
        <v>2112.35</v>
      </c>
      <c r="C21" s="1">
        <f ca="1">IFERROR(__xludf.DUMMYFUNCTION("""COMPUTED_VALUE"""),2112.89)</f>
        <v>2112.89</v>
      </c>
      <c r="D21" s="1">
        <f ca="1">IFERROR(__xludf.DUMMYFUNCTION("""COMPUTED_VALUE"""),2093.23)</f>
        <v>2093.23</v>
      </c>
      <c r="E21" s="1">
        <f ca="1">IFERROR(__xludf.DUMMYFUNCTION("""COMPUTED_VALUE"""),2095.84)</f>
        <v>2095.84</v>
      </c>
      <c r="F21" s="1">
        <f ca="1">IFERROR(__xludf.DUMMYFUNCTION("""COMPUTED_VALUE"""),521557720)</f>
        <v>521557720</v>
      </c>
    </row>
    <row r="22" spans="1:6" ht="15.75" customHeight="1" x14ac:dyDescent="0.15">
      <c r="A22" s="2">
        <f ca="1">IFERROR(__xludf.DUMMYFUNCTION("""COMPUTED_VALUE"""),42160.6666666666)</f>
        <v>42160.666666666599</v>
      </c>
      <c r="B22" s="1">
        <f ca="1">IFERROR(__xludf.DUMMYFUNCTION("""COMPUTED_VALUE"""),2095.09)</f>
        <v>2095.09</v>
      </c>
      <c r="C22" s="1">
        <f ca="1">IFERROR(__xludf.DUMMYFUNCTION("""COMPUTED_VALUE"""),2100.99)</f>
        <v>2100.9899999999998</v>
      </c>
      <c r="D22" s="1">
        <f ca="1">IFERROR(__xludf.DUMMYFUNCTION("""COMPUTED_VALUE"""),2085.67)</f>
        <v>2085.67</v>
      </c>
      <c r="E22" s="1">
        <f ca="1">IFERROR(__xludf.DUMMYFUNCTION("""COMPUTED_VALUE"""),2092.83)</f>
        <v>2092.83</v>
      </c>
      <c r="F22" s="1">
        <f ca="1">IFERROR(__xludf.DUMMYFUNCTION("""COMPUTED_VALUE"""),559311850)</f>
        <v>559311850</v>
      </c>
    </row>
    <row r="23" spans="1:6" ht="15.75" customHeight="1" x14ac:dyDescent="0.15">
      <c r="A23" s="2">
        <f ca="1">IFERROR(__xludf.DUMMYFUNCTION("""COMPUTED_VALUE"""),42163.6666666666)</f>
        <v>42163.666666666599</v>
      </c>
      <c r="B23" s="1">
        <f ca="1">IFERROR(__xludf.DUMMYFUNCTION("""COMPUTED_VALUE"""),2092.34)</f>
        <v>2092.34</v>
      </c>
      <c r="C23" s="1">
        <f ca="1">IFERROR(__xludf.DUMMYFUNCTION("""COMPUTED_VALUE"""),2093.01)</f>
        <v>2093.0100000000002</v>
      </c>
      <c r="D23" s="1">
        <f ca="1">IFERROR(__xludf.DUMMYFUNCTION("""COMPUTED_VALUE"""),2079.11)</f>
        <v>2079.11</v>
      </c>
      <c r="E23" s="1">
        <f ca="1">IFERROR(__xludf.DUMMYFUNCTION("""COMPUTED_VALUE"""),2079.28)</f>
        <v>2079.2800000000002</v>
      </c>
      <c r="F23" s="1">
        <f ca="1">IFERROR(__xludf.DUMMYFUNCTION("""COMPUTED_VALUE"""),488323296)</f>
        <v>488323296</v>
      </c>
    </row>
    <row r="24" spans="1:6" ht="15.75" customHeight="1" x14ac:dyDescent="0.15">
      <c r="A24" s="2">
        <f ca="1">IFERROR(__xludf.DUMMYFUNCTION("""COMPUTED_VALUE"""),42164.6666666666)</f>
        <v>42164.666666666599</v>
      </c>
      <c r="B24" s="1">
        <f ca="1">IFERROR(__xludf.DUMMYFUNCTION("""COMPUTED_VALUE"""),2079.07)</f>
        <v>2079.0700000000002</v>
      </c>
      <c r="C24" s="1">
        <f ca="1">IFERROR(__xludf.DUMMYFUNCTION("""COMPUTED_VALUE"""),2085.62)</f>
        <v>2085.62</v>
      </c>
      <c r="D24" s="1">
        <f ca="1">IFERROR(__xludf.DUMMYFUNCTION("""COMPUTED_VALUE"""),2072.14)</f>
        <v>2072.14</v>
      </c>
      <c r="E24" s="1">
        <f ca="1">IFERROR(__xludf.DUMMYFUNCTION("""COMPUTED_VALUE"""),2080.15)</f>
        <v>2080.15</v>
      </c>
      <c r="F24" s="1">
        <f ca="1">IFERROR(__xludf.DUMMYFUNCTION("""COMPUTED_VALUE"""),488823113)</f>
        <v>488823113</v>
      </c>
    </row>
    <row r="25" spans="1:6" ht="15.75" customHeight="1" x14ac:dyDescent="0.15">
      <c r="A25" s="2">
        <f ca="1">IFERROR(__xludf.DUMMYFUNCTION("""COMPUTED_VALUE"""),42165.6666666666)</f>
        <v>42165.666666666599</v>
      </c>
      <c r="B25" s="1">
        <f ca="1">IFERROR(__xludf.DUMMYFUNCTION("""COMPUTED_VALUE"""),2081.12)</f>
        <v>2081.12</v>
      </c>
      <c r="C25" s="1">
        <f ca="1">IFERROR(__xludf.DUMMYFUNCTION("""COMPUTED_VALUE"""),2108.5)</f>
        <v>2108.5</v>
      </c>
      <c r="D25" s="1">
        <f ca="1">IFERROR(__xludf.DUMMYFUNCTION("""COMPUTED_VALUE"""),2081.12)</f>
        <v>2081.12</v>
      </c>
      <c r="E25" s="1">
        <f ca="1">IFERROR(__xludf.DUMMYFUNCTION("""COMPUTED_VALUE"""),2105.2)</f>
        <v>2105.1999999999998</v>
      </c>
      <c r="F25" s="1">
        <f ca="1">IFERROR(__xludf.DUMMYFUNCTION("""COMPUTED_VALUE"""),507555252)</f>
        <v>507555252</v>
      </c>
    </row>
    <row r="26" spans="1:6" ht="15.75" customHeight="1" x14ac:dyDescent="0.15">
      <c r="A26" s="2">
        <f ca="1">IFERROR(__xludf.DUMMYFUNCTION("""COMPUTED_VALUE"""),42166.6666666666)</f>
        <v>42166.666666666599</v>
      </c>
      <c r="B26" s="1">
        <f ca="1">IFERROR(__xludf.DUMMYFUNCTION("""COMPUTED_VALUE"""),2106.24)</f>
        <v>2106.2399999999998</v>
      </c>
      <c r="C26" s="1">
        <f ca="1">IFERROR(__xludf.DUMMYFUNCTION("""COMPUTED_VALUE"""),2115.02)</f>
        <v>2115.02</v>
      </c>
      <c r="D26" s="1">
        <f ca="1">IFERROR(__xludf.DUMMYFUNCTION("""COMPUTED_VALUE"""),2106.24)</f>
        <v>2106.2399999999998</v>
      </c>
      <c r="E26" s="1">
        <f ca="1">IFERROR(__xludf.DUMMYFUNCTION("""COMPUTED_VALUE"""),2108.86)</f>
        <v>2108.86</v>
      </c>
      <c r="F26" s="1">
        <f ca="1">IFERROR(__xludf.DUMMYFUNCTION("""COMPUTED_VALUE"""),529774046)</f>
        <v>529774046</v>
      </c>
    </row>
    <row r="27" spans="1:6" ht="15.75" customHeight="1" x14ac:dyDescent="0.15">
      <c r="A27" s="2">
        <f ca="1">IFERROR(__xludf.DUMMYFUNCTION("""COMPUTED_VALUE"""),42167.6666666666)</f>
        <v>42167.666666666599</v>
      </c>
      <c r="B27" s="1">
        <f ca="1">IFERROR(__xludf.DUMMYFUNCTION("""COMPUTED_VALUE"""),2107.43)</f>
        <v>2107.4299999999998</v>
      </c>
      <c r="C27" s="1">
        <f ca="1">IFERROR(__xludf.DUMMYFUNCTION("""COMPUTED_VALUE"""),2107.43)</f>
        <v>2107.4299999999998</v>
      </c>
      <c r="D27" s="1">
        <f ca="1">IFERROR(__xludf.DUMMYFUNCTION("""COMPUTED_VALUE"""),2091.33)</f>
        <v>2091.33</v>
      </c>
      <c r="E27" s="1">
        <f ca="1">IFERROR(__xludf.DUMMYFUNCTION("""COMPUTED_VALUE"""),2094.11)</f>
        <v>2094.11</v>
      </c>
      <c r="F27" s="1">
        <f ca="1">IFERROR(__xludf.DUMMYFUNCTION("""COMPUTED_VALUE"""),449503626)</f>
        <v>449503626</v>
      </c>
    </row>
    <row r="28" spans="1:6" ht="15.75" customHeight="1" x14ac:dyDescent="0.15">
      <c r="A28" s="2">
        <f ca="1">IFERROR(__xludf.DUMMYFUNCTION("""COMPUTED_VALUE"""),42170.6666666666)</f>
        <v>42170.666666666599</v>
      </c>
      <c r="B28" s="1">
        <f ca="1">IFERROR(__xludf.DUMMYFUNCTION("""COMPUTED_VALUE"""),2091.34)</f>
        <v>2091.34</v>
      </c>
      <c r="C28" s="1">
        <f ca="1">IFERROR(__xludf.DUMMYFUNCTION("""COMPUTED_VALUE"""),2091.34)</f>
        <v>2091.34</v>
      </c>
      <c r="D28" s="1">
        <f ca="1">IFERROR(__xludf.DUMMYFUNCTION("""COMPUTED_VALUE"""),2072.49)</f>
        <v>2072.4899999999998</v>
      </c>
      <c r="E28" s="1">
        <f ca="1">IFERROR(__xludf.DUMMYFUNCTION("""COMPUTED_VALUE"""),2084.43)</f>
        <v>2084.4299999999998</v>
      </c>
      <c r="F28" s="1">
        <f ca="1">IFERROR(__xludf.DUMMYFUNCTION("""COMPUTED_VALUE"""),504787125)</f>
        <v>504787125</v>
      </c>
    </row>
    <row r="29" spans="1:6" ht="15.75" customHeight="1" x14ac:dyDescent="0.15">
      <c r="A29" s="2">
        <f ca="1">IFERROR(__xludf.DUMMYFUNCTION("""COMPUTED_VALUE"""),42171.6666666666)</f>
        <v>42171.666666666599</v>
      </c>
      <c r="B29" s="1">
        <f ca="1">IFERROR(__xludf.DUMMYFUNCTION("""COMPUTED_VALUE"""),2084.26)</f>
        <v>2084.2600000000002</v>
      </c>
      <c r="C29" s="1">
        <f ca="1">IFERROR(__xludf.DUMMYFUNCTION("""COMPUTED_VALUE"""),2097.4)</f>
        <v>2097.4</v>
      </c>
      <c r="D29" s="1">
        <f ca="1">IFERROR(__xludf.DUMMYFUNCTION("""COMPUTED_VALUE"""),2082.1)</f>
        <v>2082.1</v>
      </c>
      <c r="E29" s="1">
        <f ca="1">IFERROR(__xludf.DUMMYFUNCTION("""COMPUTED_VALUE"""),2096.29)</f>
        <v>2096.29</v>
      </c>
      <c r="F29" s="1">
        <f ca="1">IFERROR(__xludf.DUMMYFUNCTION("""COMPUTED_VALUE"""),410710293)</f>
        <v>410710293</v>
      </c>
    </row>
    <row r="30" spans="1:6" ht="15.75" customHeight="1" x14ac:dyDescent="0.15">
      <c r="A30" s="2">
        <f ca="1">IFERROR(__xludf.DUMMYFUNCTION("""COMPUTED_VALUE"""),42172.6666666666)</f>
        <v>42172.666666666599</v>
      </c>
      <c r="B30" s="1">
        <f ca="1">IFERROR(__xludf.DUMMYFUNCTION("""COMPUTED_VALUE"""),2097.4)</f>
        <v>2097.4</v>
      </c>
      <c r="C30" s="1">
        <f ca="1">IFERROR(__xludf.DUMMYFUNCTION("""COMPUTED_VALUE"""),2106.79)</f>
        <v>2106.79</v>
      </c>
      <c r="D30" s="1">
        <f ca="1">IFERROR(__xludf.DUMMYFUNCTION("""COMPUTED_VALUE"""),2088.86)</f>
        <v>2088.86</v>
      </c>
      <c r="E30" s="1">
        <f ca="1">IFERROR(__xludf.DUMMYFUNCTION("""COMPUTED_VALUE"""),2100.44)</f>
        <v>2100.44</v>
      </c>
      <c r="F30" s="1">
        <f ca="1">IFERROR(__xludf.DUMMYFUNCTION("""COMPUTED_VALUE"""),480805890)</f>
        <v>480805890</v>
      </c>
    </row>
    <row r="31" spans="1:6" ht="15.75" customHeight="1" x14ac:dyDescent="0.15">
      <c r="A31" s="2">
        <f ca="1">IFERROR(__xludf.DUMMYFUNCTION("""COMPUTED_VALUE"""),42173.6666666666)</f>
        <v>42173.666666666599</v>
      </c>
      <c r="B31" s="1">
        <f ca="1">IFERROR(__xludf.DUMMYFUNCTION("""COMPUTED_VALUE"""),2101.58)</f>
        <v>2101.58</v>
      </c>
      <c r="C31" s="1">
        <f ca="1">IFERROR(__xludf.DUMMYFUNCTION("""COMPUTED_VALUE"""),2126.65)</f>
        <v>2126.65</v>
      </c>
      <c r="D31" s="1">
        <f ca="1">IFERROR(__xludf.DUMMYFUNCTION("""COMPUTED_VALUE"""),2101.58)</f>
        <v>2101.58</v>
      </c>
      <c r="E31" s="1">
        <f ca="1">IFERROR(__xludf.DUMMYFUNCTION("""COMPUTED_VALUE"""),2121.24)</f>
        <v>2121.2399999999998</v>
      </c>
      <c r="F31" s="1">
        <f ca="1">IFERROR(__xludf.DUMMYFUNCTION("""COMPUTED_VALUE"""),544428661)</f>
        <v>544428661</v>
      </c>
    </row>
    <row r="32" spans="1:6" ht="15.75" customHeight="1" x14ac:dyDescent="0.15">
      <c r="A32" s="2">
        <f ca="1">IFERROR(__xludf.DUMMYFUNCTION("""COMPUTED_VALUE"""),42174.6666666666)</f>
        <v>42174.666666666599</v>
      </c>
      <c r="B32" s="1">
        <f ca="1">IFERROR(__xludf.DUMMYFUNCTION("""COMPUTED_VALUE"""),2121.03)</f>
        <v>2121.0300000000002</v>
      </c>
      <c r="C32" s="1">
        <f ca="1">IFERROR(__xludf.DUMMYFUNCTION("""COMPUTED_VALUE"""),2121.64)</f>
        <v>2121.64</v>
      </c>
      <c r="D32" s="1">
        <f ca="1">IFERROR(__xludf.DUMMYFUNCTION("""COMPUTED_VALUE"""),2109.38)</f>
        <v>2109.38</v>
      </c>
      <c r="E32" s="1">
        <f ca="1">IFERROR(__xludf.DUMMYFUNCTION("""COMPUTED_VALUE"""),2109.99)</f>
        <v>2109.9899999999998</v>
      </c>
      <c r="F32" s="1">
        <f ca="1">IFERROR(__xludf.DUMMYFUNCTION("""COMPUTED_VALUE"""),181680815)</f>
        <v>181680815</v>
      </c>
    </row>
    <row r="33" spans="1:6" ht="15.75" customHeight="1" x14ac:dyDescent="0.15">
      <c r="A33" s="2">
        <f ca="1">IFERROR(__xludf.DUMMYFUNCTION("""COMPUTED_VALUE"""),42177.6666666666)</f>
        <v>42177.666666666599</v>
      </c>
      <c r="B33" s="1">
        <f ca="1">IFERROR(__xludf.DUMMYFUNCTION("""COMPUTED_VALUE"""),2112.5)</f>
        <v>2112.5</v>
      </c>
      <c r="C33" s="1">
        <f ca="1">IFERROR(__xludf.DUMMYFUNCTION("""COMPUTED_VALUE"""),2129.87)</f>
        <v>2129.87</v>
      </c>
      <c r="D33" s="1">
        <f ca="1">IFERROR(__xludf.DUMMYFUNCTION("""COMPUTED_VALUE"""),2112.5)</f>
        <v>2112.5</v>
      </c>
      <c r="E33" s="1">
        <f ca="1">IFERROR(__xludf.DUMMYFUNCTION("""COMPUTED_VALUE"""),2122.85)</f>
        <v>2122.85</v>
      </c>
      <c r="F33" s="1">
        <f ca="1">IFERROR(__xludf.DUMMYFUNCTION("""COMPUTED_VALUE"""),468228023)</f>
        <v>468228023</v>
      </c>
    </row>
    <row r="34" spans="1:6" ht="15.75" customHeight="1" x14ac:dyDescent="0.15">
      <c r="A34" s="2">
        <f ca="1">IFERROR(__xludf.DUMMYFUNCTION("""COMPUTED_VALUE"""),42178.6666666666)</f>
        <v>42178.666666666599</v>
      </c>
      <c r="B34" s="1">
        <f ca="1">IFERROR(__xludf.DUMMYFUNCTION("""COMPUTED_VALUE"""),2123.16)</f>
        <v>2123.16</v>
      </c>
      <c r="C34" s="1">
        <f ca="1">IFERROR(__xludf.DUMMYFUNCTION("""COMPUTED_VALUE"""),2128.03)</f>
        <v>2128.0300000000002</v>
      </c>
      <c r="D34" s="1">
        <f ca="1">IFERROR(__xludf.DUMMYFUNCTION("""COMPUTED_VALUE"""),2119.89)</f>
        <v>2119.89</v>
      </c>
      <c r="E34" s="1">
        <f ca="1">IFERROR(__xludf.DUMMYFUNCTION("""COMPUTED_VALUE"""),2124.2)</f>
        <v>2124.1999999999998</v>
      </c>
      <c r="F34" s="1">
        <f ca="1">IFERROR(__xludf.DUMMYFUNCTION("""COMPUTED_VALUE"""),453115170)</f>
        <v>453115170</v>
      </c>
    </row>
    <row r="35" spans="1:6" ht="15.75" customHeight="1" x14ac:dyDescent="0.15">
      <c r="A35" s="2">
        <f ca="1">IFERROR(__xludf.DUMMYFUNCTION("""COMPUTED_VALUE"""),42179.6666666666)</f>
        <v>42179.666666666599</v>
      </c>
      <c r="B35" s="1">
        <f ca="1">IFERROR(__xludf.DUMMYFUNCTION("""COMPUTED_VALUE"""),2123.33)</f>
        <v>2123.33</v>
      </c>
      <c r="C35" s="1">
        <f ca="1">IFERROR(__xludf.DUMMYFUNCTION("""COMPUTED_VALUE"""),2125.1)</f>
        <v>2125.1</v>
      </c>
      <c r="D35" s="1">
        <f ca="1">IFERROR(__xludf.DUMMYFUNCTION("""COMPUTED_VALUE"""),2108.58)</f>
        <v>2108.58</v>
      </c>
      <c r="E35" s="1">
        <f ca="1">IFERROR(__xludf.DUMMYFUNCTION("""COMPUTED_VALUE"""),2108.58)</f>
        <v>2108.58</v>
      </c>
      <c r="F35" s="1">
        <f ca="1">IFERROR(__xludf.DUMMYFUNCTION("""COMPUTED_VALUE"""),534019481)</f>
        <v>534019481</v>
      </c>
    </row>
    <row r="36" spans="1:6" ht="15.75" customHeight="1" x14ac:dyDescent="0.15">
      <c r="A36" s="2">
        <f ca="1">IFERROR(__xludf.DUMMYFUNCTION("""COMPUTED_VALUE"""),42180.6666666666)</f>
        <v>42180.666666666599</v>
      </c>
      <c r="B36" s="1">
        <f ca="1">IFERROR(__xludf.DUMMYFUNCTION("""COMPUTED_VALUE"""),2109.96)</f>
        <v>2109.96</v>
      </c>
      <c r="C36" s="1">
        <f ca="1">IFERROR(__xludf.DUMMYFUNCTION("""COMPUTED_VALUE"""),2116.04)</f>
        <v>2116.04</v>
      </c>
      <c r="D36" s="1">
        <f ca="1">IFERROR(__xludf.DUMMYFUNCTION("""COMPUTED_VALUE"""),2101.78)</f>
        <v>2101.7800000000002</v>
      </c>
      <c r="E36" s="1">
        <f ca="1">IFERROR(__xludf.DUMMYFUNCTION("""COMPUTED_VALUE"""),2102.31)</f>
        <v>2102.31</v>
      </c>
      <c r="F36" s="1">
        <f ca="1">IFERROR(__xludf.DUMMYFUNCTION("""COMPUTED_VALUE"""),494346810)</f>
        <v>494346810</v>
      </c>
    </row>
    <row r="37" spans="1:6" ht="15.75" customHeight="1" x14ac:dyDescent="0.15">
      <c r="A37" s="2">
        <f ca="1">IFERROR(__xludf.DUMMYFUNCTION("""COMPUTED_VALUE"""),42181.6666666666)</f>
        <v>42181.666666666599</v>
      </c>
      <c r="B37" s="1">
        <f ca="1">IFERROR(__xludf.DUMMYFUNCTION("""COMPUTED_VALUE"""),2102.62)</f>
        <v>2102.62</v>
      </c>
      <c r="C37" s="1">
        <f ca="1">IFERROR(__xludf.DUMMYFUNCTION("""COMPUTED_VALUE"""),2108.92)</f>
        <v>2108.92</v>
      </c>
      <c r="D37" s="1">
        <f ca="1">IFERROR(__xludf.DUMMYFUNCTION("""COMPUTED_VALUE"""),2095.38)</f>
        <v>2095.38</v>
      </c>
      <c r="E37" s="1">
        <f ca="1">IFERROR(__xludf.DUMMYFUNCTION("""COMPUTED_VALUE"""),2101.49)</f>
        <v>2101.4899999999998</v>
      </c>
      <c r="F37" s="1">
        <f ca="1">IFERROR(__xludf.DUMMYFUNCTION("""COMPUTED_VALUE"""),927539503)</f>
        <v>927539503</v>
      </c>
    </row>
    <row r="38" spans="1:6" ht="15.75" customHeight="1" x14ac:dyDescent="0.15">
      <c r="A38" s="2">
        <f ca="1">IFERROR(__xludf.DUMMYFUNCTION("""COMPUTED_VALUE"""),42184.6666666666)</f>
        <v>42184.666666666599</v>
      </c>
      <c r="B38" s="1">
        <f ca="1">IFERROR(__xludf.DUMMYFUNCTION("""COMPUTED_VALUE"""),2098.63)</f>
        <v>2098.63</v>
      </c>
      <c r="C38" s="1">
        <f ca="1">IFERROR(__xludf.DUMMYFUNCTION("""COMPUTED_VALUE"""),2098.63)</f>
        <v>2098.63</v>
      </c>
      <c r="D38" s="1">
        <f ca="1">IFERROR(__xludf.DUMMYFUNCTION("""COMPUTED_VALUE"""),2056.64)</f>
        <v>2056.64</v>
      </c>
      <c r="E38" s="1">
        <f ca="1">IFERROR(__xludf.DUMMYFUNCTION("""COMPUTED_VALUE"""),2057.64)</f>
        <v>2057.64</v>
      </c>
      <c r="F38" s="1">
        <f ca="1">IFERROR(__xludf.DUMMYFUNCTION("""COMPUTED_VALUE"""),586955148)</f>
        <v>586955148</v>
      </c>
    </row>
    <row r="39" spans="1:6" ht="15.75" customHeight="1" x14ac:dyDescent="0.15">
      <c r="A39" s="2">
        <f ca="1">IFERROR(__xludf.DUMMYFUNCTION("""COMPUTED_VALUE"""),42185.6666666666)</f>
        <v>42185.666666666599</v>
      </c>
      <c r="B39" s="1">
        <f ca="1">IFERROR(__xludf.DUMMYFUNCTION("""COMPUTED_VALUE"""),2061.19)</f>
        <v>2061.19</v>
      </c>
      <c r="C39" s="1">
        <f ca="1">IFERROR(__xludf.DUMMYFUNCTION("""COMPUTED_VALUE"""),2074.28)</f>
        <v>2074.2800000000002</v>
      </c>
      <c r="D39" s="1">
        <f ca="1">IFERROR(__xludf.DUMMYFUNCTION("""COMPUTED_VALUE"""),2056.32)</f>
        <v>2056.3200000000002</v>
      </c>
      <c r="E39" s="1">
        <f ca="1">IFERROR(__xludf.DUMMYFUNCTION("""COMPUTED_VALUE"""),2063.11)</f>
        <v>2063.11</v>
      </c>
      <c r="F39" s="1">
        <f ca="1">IFERROR(__xludf.DUMMYFUNCTION("""COMPUTED_VALUE"""),717671106)</f>
        <v>717671106</v>
      </c>
    </row>
    <row r="40" spans="1:6" ht="13" x14ac:dyDescent="0.15">
      <c r="A40" s="2">
        <f ca="1">IFERROR(__xludf.DUMMYFUNCTION("""COMPUTED_VALUE"""),42186.6666666666)</f>
        <v>42186.666666666599</v>
      </c>
      <c r="B40" s="1">
        <f ca="1">IFERROR(__xludf.DUMMYFUNCTION("""COMPUTED_VALUE"""),2067)</f>
        <v>2067</v>
      </c>
      <c r="C40" s="1">
        <f ca="1">IFERROR(__xludf.DUMMYFUNCTION("""COMPUTED_VALUE"""),2082.78)</f>
        <v>2082.7800000000002</v>
      </c>
      <c r="D40" s="1">
        <f ca="1">IFERROR(__xludf.DUMMYFUNCTION("""COMPUTED_VALUE"""),2067)</f>
        <v>2067</v>
      </c>
      <c r="E40" s="1">
        <f ca="1">IFERROR(__xludf.DUMMYFUNCTION("""COMPUTED_VALUE"""),2077.42)</f>
        <v>2077.42</v>
      </c>
      <c r="F40" s="1">
        <f ca="1">IFERROR(__xludf.DUMMYFUNCTION("""COMPUTED_VALUE"""),531751257)</f>
        <v>531751257</v>
      </c>
    </row>
    <row r="41" spans="1:6" ht="13" x14ac:dyDescent="0.15">
      <c r="A41" s="2">
        <f ca="1">IFERROR(__xludf.DUMMYFUNCTION("""COMPUTED_VALUE"""),42187.6666666666)</f>
        <v>42187.666666666599</v>
      </c>
      <c r="B41" s="1">
        <f ca="1">IFERROR(__xludf.DUMMYFUNCTION("""COMPUTED_VALUE"""),2078.03)</f>
        <v>2078.0300000000002</v>
      </c>
      <c r="C41" s="1">
        <f ca="1">IFERROR(__xludf.DUMMYFUNCTION("""COMPUTED_VALUE"""),2085.06)</f>
        <v>2085.06</v>
      </c>
      <c r="D41" s="1">
        <f ca="1">IFERROR(__xludf.DUMMYFUNCTION("""COMPUTED_VALUE"""),2071.02)</f>
        <v>2071.02</v>
      </c>
      <c r="E41" s="1">
        <f ca="1">IFERROR(__xludf.DUMMYFUNCTION("""COMPUTED_VALUE"""),2076.78)</f>
        <v>2076.7800000000002</v>
      </c>
      <c r="F41" s="1">
        <f ca="1">IFERROR(__xludf.DUMMYFUNCTION("""COMPUTED_VALUE"""),484440239)</f>
        <v>484440239</v>
      </c>
    </row>
    <row r="42" spans="1:6" ht="13" x14ac:dyDescent="0.15">
      <c r="A42" s="2">
        <f ca="1">IFERROR(__xludf.DUMMYFUNCTION("""COMPUTED_VALUE"""),42191.6666666666)</f>
        <v>42191.666666666599</v>
      </c>
      <c r="B42" s="1">
        <f ca="1">IFERROR(__xludf.DUMMYFUNCTION("""COMPUTED_VALUE"""),2073.95)</f>
        <v>2073.9499999999998</v>
      </c>
      <c r="C42" s="1">
        <f ca="1">IFERROR(__xludf.DUMMYFUNCTION("""COMPUTED_VALUE"""),2078.61)</f>
        <v>2078.61</v>
      </c>
      <c r="D42" s="1">
        <f ca="1">IFERROR(__xludf.DUMMYFUNCTION("""COMPUTED_VALUE"""),2058.4)</f>
        <v>2058.4</v>
      </c>
      <c r="E42" s="1">
        <f ca="1">IFERROR(__xludf.DUMMYFUNCTION("""COMPUTED_VALUE"""),2068.76)</f>
        <v>2068.7600000000002</v>
      </c>
      <c r="F42" s="1">
        <f ca="1">IFERROR(__xludf.DUMMYFUNCTION("""COMPUTED_VALUE"""),586209073)</f>
        <v>586209073</v>
      </c>
    </row>
    <row r="43" spans="1:6" ht="13" x14ac:dyDescent="0.15">
      <c r="A43" s="2">
        <f ca="1">IFERROR(__xludf.DUMMYFUNCTION("""COMPUTED_VALUE"""),42192.6666666666)</f>
        <v>42192.666666666599</v>
      </c>
      <c r="B43" s="1">
        <f ca="1">IFERROR(__xludf.DUMMYFUNCTION("""COMPUTED_VALUE"""),2069.52)</f>
        <v>2069.52</v>
      </c>
      <c r="C43" s="1">
        <f ca="1">IFERROR(__xludf.DUMMYFUNCTION("""COMPUTED_VALUE"""),2083.74)</f>
        <v>2083.7399999999998</v>
      </c>
      <c r="D43" s="1">
        <f ca="1">IFERROR(__xludf.DUMMYFUNCTION("""COMPUTED_VALUE"""),2044.02)</f>
        <v>2044.02</v>
      </c>
      <c r="E43" s="1">
        <f ca="1">IFERROR(__xludf.DUMMYFUNCTION("""COMPUTED_VALUE"""),2081.34)</f>
        <v>2081.34</v>
      </c>
      <c r="F43" s="1">
        <f ca="1">IFERROR(__xludf.DUMMYFUNCTION("""COMPUTED_VALUE"""),624382379)</f>
        <v>624382379</v>
      </c>
    </row>
    <row r="44" spans="1:6" ht="13" x14ac:dyDescent="0.15">
      <c r="A44" s="2">
        <f ca="1">IFERROR(__xludf.DUMMYFUNCTION("""COMPUTED_VALUE"""),42193.6666666666)</f>
        <v>42193.666666666599</v>
      </c>
      <c r="B44" s="1">
        <f ca="1">IFERROR(__xludf.DUMMYFUNCTION("""COMPUTED_VALUE"""),2077.66)</f>
        <v>2077.66</v>
      </c>
      <c r="C44" s="1">
        <f ca="1">IFERROR(__xludf.DUMMYFUNCTION("""COMPUTED_VALUE"""),2077.66)</f>
        <v>2077.66</v>
      </c>
      <c r="D44" s="1">
        <f ca="1">IFERROR(__xludf.DUMMYFUNCTION("""COMPUTED_VALUE"""),2044.66)</f>
        <v>2044.66</v>
      </c>
      <c r="E44" s="1">
        <f ca="1">IFERROR(__xludf.DUMMYFUNCTION("""COMPUTED_VALUE"""),2046.68)</f>
        <v>2046.68</v>
      </c>
      <c r="F44" s="1">
        <f ca="1">IFERROR(__xludf.DUMMYFUNCTION("""COMPUTED_VALUE"""),372276830)</f>
        <v>372276830</v>
      </c>
    </row>
    <row r="45" spans="1:6" ht="13" x14ac:dyDescent="0.15">
      <c r="A45" s="2">
        <f ca="1">IFERROR(__xludf.DUMMYFUNCTION("""COMPUTED_VALUE"""),42194.6666666666)</f>
        <v>42194.666666666599</v>
      </c>
      <c r="B45" s="1">
        <f ca="1">IFERROR(__xludf.DUMMYFUNCTION("""COMPUTED_VALUE"""),2049.73)</f>
        <v>2049.73</v>
      </c>
      <c r="C45" s="1">
        <f ca="1">IFERROR(__xludf.DUMMYFUNCTION("""COMPUTED_VALUE"""),2074.28)</f>
        <v>2074.2800000000002</v>
      </c>
      <c r="D45" s="1">
        <f ca="1">IFERROR(__xludf.DUMMYFUNCTION("""COMPUTED_VALUE"""),2049.73)</f>
        <v>2049.73</v>
      </c>
      <c r="E45" s="1">
        <f ca="1">IFERROR(__xludf.DUMMYFUNCTION("""COMPUTED_VALUE"""),2051.31)</f>
        <v>2051.31</v>
      </c>
      <c r="F45" s="1">
        <f ca="1">IFERROR(__xludf.DUMMYFUNCTION("""COMPUTED_VALUE"""),553570988)</f>
        <v>553570988</v>
      </c>
    </row>
    <row r="46" spans="1:6" ht="13" x14ac:dyDescent="0.15">
      <c r="A46" s="2">
        <f ca="1">IFERROR(__xludf.DUMMYFUNCTION("""COMPUTED_VALUE"""),42195.6666666666)</f>
        <v>42195.666666666599</v>
      </c>
      <c r="B46" s="1">
        <f ca="1">IFERROR(__xludf.DUMMYFUNCTION("""COMPUTED_VALUE"""),2052.74)</f>
        <v>2052.7399999999998</v>
      </c>
      <c r="C46" s="1">
        <f ca="1">IFERROR(__xludf.DUMMYFUNCTION("""COMPUTED_VALUE"""),2081.31)</f>
        <v>2081.31</v>
      </c>
      <c r="D46" s="1">
        <f ca="1">IFERROR(__xludf.DUMMYFUNCTION("""COMPUTED_VALUE"""),2052.74)</f>
        <v>2052.7399999999998</v>
      </c>
      <c r="E46" s="1">
        <f ca="1">IFERROR(__xludf.DUMMYFUNCTION("""COMPUTED_VALUE"""),2076.62)</f>
        <v>2076.62</v>
      </c>
      <c r="F46" s="1">
        <f ca="1">IFERROR(__xludf.DUMMYFUNCTION("""COMPUTED_VALUE"""),487492213)</f>
        <v>487492213</v>
      </c>
    </row>
    <row r="47" spans="1:6" ht="13" x14ac:dyDescent="0.15">
      <c r="A47" s="2">
        <f ca="1">IFERROR(__xludf.DUMMYFUNCTION("""COMPUTED_VALUE"""),42198.6666666666)</f>
        <v>42198.666666666599</v>
      </c>
      <c r="B47" s="1">
        <f ca="1">IFERROR(__xludf.DUMMYFUNCTION("""COMPUTED_VALUE"""),2080.03)</f>
        <v>2080.0300000000002</v>
      </c>
      <c r="C47" s="1">
        <f ca="1">IFERROR(__xludf.DUMMYFUNCTION("""COMPUTED_VALUE"""),2100.67)</f>
        <v>2100.67</v>
      </c>
      <c r="D47" s="1">
        <f ca="1">IFERROR(__xludf.DUMMYFUNCTION("""COMPUTED_VALUE"""),2080.03)</f>
        <v>2080.0300000000002</v>
      </c>
      <c r="E47" s="1">
        <f ca="1">IFERROR(__xludf.DUMMYFUNCTION("""COMPUTED_VALUE"""),2099.6)</f>
        <v>2099.6</v>
      </c>
      <c r="F47" s="1">
        <f ca="1">IFERROR(__xludf.DUMMYFUNCTION("""COMPUTED_VALUE"""),504047608)</f>
        <v>504047608</v>
      </c>
    </row>
    <row r="48" spans="1:6" ht="13" x14ac:dyDescent="0.15">
      <c r="A48" s="2">
        <f ca="1">IFERROR(__xludf.DUMMYFUNCTION("""COMPUTED_VALUE"""),42199.6666666666)</f>
        <v>42199.666666666599</v>
      </c>
      <c r="B48" s="1">
        <f ca="1">IFERROR(__xludf.DUMMYFUNCTION("""COMPUTED_VALUE"""),2099.72)</f>
        <v>2099.7199999999998</v>
      </c>
      <c r="C48" s="1">
        <f ca="1">IFERROR(__xludf.DUMMYFUNCTION("""COMPUTED_VALUE"""),2111.98)</f>
        <v>2111.98</v>
      </c>
      <c r="D48" s="1">
        <f ca="1">IFERROR(__xludf.DUMMYFUNCTION("""COMPUTED_VALUE"""),2098.18)</f>
        <v>2098.1799999999998</v>
      </c>
      <c r="E48" s="1">
        <f ca="1">IFERROR(__xludf.DUMMYFUNCTION("""COMPUTED_VALUE"""),2108.95)</f>
        <v>2108.9499999999998</v>
      </c>
      <c r="F48" s="1">
        <f ca="1">IFERROR(__xludf.DUMMYFUNCTION("""COMPUTED_VALUE"""),501243649)</f>
        <v>501243649</v>
      </c>
    </row>
    <row r="49" spans="1:6" ht="13" x14ac:dyDescent="0.15">
      <c r="A49" s="2">
        <f ca="1">IFERROR(__xludf.DUMMYFUNCTION("""COMPUTED_VALUE"""),42200.6666666666)</f>
        <v>42200.666666666599</v>
      </c>
      <c r="B49" s="1">
        <f ca="1">IFERROR(__xludf.DUMMYFUNCTION("""COMPUTED_VALUE"""),2109.01)</f>
        <v>2109.0100000000002</v>
      </c>
      <c r="C49" s="1">
        <f ca="1">IFERROR(__xludf.DUMMYFUNCTION("""COMPUTED_VALUE"""),2114.14)</f>
        <v>2114.14</v>
      </c>
      <c r="D49" s="1">
        <f ca="1">IFERROR(__xludf.DUMMYFUNCTION("""COMPUTED_VALUE"""),2102.49)</f>
        <v>2102.4899999999998</v>
      </c>
      <c r="E49" s="1">
        <f ca="1">IFERROR(__xludf.DUMMYFUNCTION("""COMPUTED_VALUE"""),2107.4)</f>
        <v>2107.4</v>
      </c>
      <c r="F49" s="1">
        <f ca="1">IFERROR(__xludf.DUMMYFUNCTION("""COMPUTED_VALUE"""),538810633)</f>
        <v>538810633</v>
      </c>
    </row>
    <row r="50" spans="1:6" ht="13" x14ac:dyDescent="0.15">
      <c r="A50" s="2">
        <f ca="1">IFERROR(__xludf.DUMMYFUNCTION("""COMPUTED_VALUE"""),42201.6666666666)</f>
        <v>42201.666666666599</v>
      </c>
      <c r="B50" s="1">
        <f ca="1">IFERROR(__xludf.DUMMYFUNCTION("""COMPUTED_VALUE"""),2110.55)</f>
        <v>2110.5500000000002</v>
      </c>
      <c r="C50" s="1">
        <f ca="1">IFERROR(__xludf.DUMMYFUNCTION("""COMPUTED_VALUE"""),2124.42)</f>
        <v>2124.42</v>
      </c>
      <c r="D50" s="1">
        <f ca="1">IFERROR(__xludf.DUMMYFUNCTION("""COMPUTED_VALUE"""),2110.55)</f>
        <v>2110.5500000000002</v>
      </c>
      <c r="E50" s="1">
        <f ca="1">IFERROR(__xludf.DUMMYFUNCTION("""COMPUTED_VALUE"""),2124.29)</f>
        <v>2124.29</v>
      </c>
      <c r="F50" s="1">
        <f ca="1">IFERROR(__xludf.DUMMYFUNCTION("""COMPUTED_VALUE"""),531489666)</f>
        <v>531489666</v>
      </c>
    </row>
    <row r="51" spans="1:6" ht="13" x14ac:dyDescent="0.15">
      <c r="A51" s="2">
        <f ca="1">IFERROR(__xludf.DUMMYFUNCTION("""COMPUTED_VALUE"""),42202.6666666666)</f>
        <v>42202.666666666599</v>
      </c>
      <c r="B51" s="1">
        <f ca="1">IFERROR(__xludf.DUMMYFUNCTION("""COMPUTED_VALUE"""),2126.8)</f>
        <v>2126.8000000000002</v>
      </c>
      <c r="C51" s="1">
        <f ca="1">IFERROR(__xludf.DUMMYFUNCTION("""COMPUTED_VALUE"""),2128.91)</f>
        <v>2128.91</v>
      </c>
      <c r="D51" s="1">
        <f ca="1">IFERROR(__xludf.DUMMYFUNCTION("""COMPUTED_VALUE"""),2119.88)</f>
        <v>2119.88</v>
      </c>
      <c r="E51" s="1">
        <f ca="1">IFERROR(__xludf.DUMMYFUNCTION("""COMPUTED_VALUE"""),2126.64)</f>
        <v>2126.64</v>
      </c>
      <c r="F51" s="1">
        <f ca="1">IFERROR(__xludf.DUMMYFUNCTION("""COMPUTED_VALUE"""),626055481)</f>
        <v>626055481</v>
      </c>
    </row>
    <row r="52" spans="1:6" ht="13" x14ac:dyDescent="0.15">
      <c r="A52" s="2">
        <f ca="1">IFERROR(__xludf.DUMMYFUNCTION("""COMPUTED_VALUE"""),42205.6666666666)</f>
        <v>42205.666666666599</v>
      </c>
      <c r="B52" s="1">
        <f ca="1">IFERROR(__xludf.DUMMYFUNCTION("""COMPUTED_VALUE"""),2126.85)</f>
        <v>2126.85</v>
      </c>
      <c r="C52" s="1">
        <f ca="1">IFERROR(__xludf.DUMMYFUNCTION("""COMPUTED_VALUE"""),2132.82)</f>
        <v>2132.8200000000002</v>
      </c>
      <c r="D52" s="1">
        <f ca="1">IFERROR(__xludf.DUMMYFUNCTION("""COMPUTED_VALUE"""),2123.65)</f>
        <v>2123.65</v>
      </c>
      <c r="E52" s="1">
        <f ca="1">IFERROR(__xludf.DUMMYFUNCTION("""COMPUTED_VALUE"""),2128.28)</f>
        <v>2128.2800000000002</v>
      </c>
      <c r="F52" s="1">
        <f ca="1">IFERROR(__xludf.DUMMYFUNCTION("""COMPUTED_VALUE"""),498063871)</f>
        <v>498063871</v>
      </c>
    </row>
    <row r="53" spans="1:6" ht="13" x14ac:dyDescent="0.15">
      <c r="A53" s="2">
        <f ca="1">IFERROR(__xludf.DUMMYFUNCTION("""COMPUTED_VALUE"""),42206.6666666666)</f>
        <v>42206.666666666599</v>
      </c>
      <c r="B53" s="1">
        <f ca="1">IFERROR(__xludf.DUMMYFUNCTION("""COMPUTED_VALUE"""),2127.55)</f>
        <v>2127.5500000000002</v>
      </c>
      <c r="C53" s="1">
        <f ca="1">IFERROR(__xludf.DUMMYFUNCTION("""COMPUTED_VALUE"""),2128.49)</f>
        <v>2128.4899999999998</v>
      </c>
      <c r="D53" s="1">
        <f ca="1">IFERROR(__xludf.DUMMYFUNCTION("""COMPUTED_VALUE"""),2115.4)</f>
        <v>2115.4</v>
      </c>
      <c r="E53" s="1">
        <f ca="1">IFERROR(__xludf.DUMMYFUNCTION("""COMPUTED_VALUE"""),2119.21)</f>
        <v>2119.21</v>
      </c>
      <c r="F53" s="1">
        <f ca="1">IFERROR(__xludf.DUMMYFUNCTION("""COMPUTED_VALUE"""),549092745)</f>
        <v>549092745</v>
      </c>
    </row>
    <row r="54" spans="1:6" ht="13" x14ac:dyDescent="0.15">
      <c r="A54" s="2">
        <f ca="1">IFERROR(__xludf.DUMMYFUNCTION("""COMPUTED_VALUE"""),42207.6666666666)</f>
        <v>42207.666666666599</v>
      </c>
      <c r="B54" s="1">
        <f ca="1">IFERROR(__xludf.DUMMYFUNCTION("""COMPUTED_VALUE"""),2118.21)</f>
        <v>2118.21</v>
      </c>
      <c r="C54" s="1">
        <f ca="1">IFERROR(__xludf.DUMMYFUNCTION("""COMPUTED_VALUE"""),2118.51)</f>
        <v>2118.5100000000002</v>
      </c>
      <c r="D54" s="1">
        <f ca="1">IFERROR(__xludf.DUMMYFUNCTION("""COMPUTED_VALUE"""),2110)</f>
        <v>2110</v>
      </c>
      <c r="E54" s="1">
        <f ca="1">IFERROR(__xludf.DUMMYFUNCTION("""COMPUTED_VALUE"""),2114.15)</f>
        <v>2114.15</v>
      </c>
      <c r="F54" s="1">
        <f ca="1">IFERROR(__xludf.DUMMYFUNCTION("""COMPUTED_VALUE"""),604850316)</f>
        <v>604850316</v>
      </c>
    </row>
    <row r="55" spans="1:6" ht="13" x14ac:dyDescent="0.15">
      <c r="A55" s="2">
        <f ca="1">IFERROR(__xludf.DUMMYFUNCTION("""COMPUTED_VALUE"""),42208.6666666666)</f>
        <v>42208.666666666599</v>
      </c>
      <c r="B55" s="1">
        <f ca="1">IFERROR(__xludf.DUMMYFUNCTION("""COMPUTED_VALUE"""),2114.16)</f>
        <v>2114.16</v>
      </c>
      <c r="C55" s="1">
        <f ca="1">IFERROR(__xludf.DUMMYFUNCTION("""COMPUTED_VALUE"""),2116.87)</f>
        <v>2116.87</v>
      </c>
      <c r="D55" s="1">
        <f ca="1">IFERROR(__xludf.DUMMYFUNCTION("""COMPUTED_VALUE"""),2098.63)</f>
        <v>2098.63</v>
      </c>
      <c r="E55" s="1">
        <f ca="1">IFERROR(__xludf.DUMMYFUNCTION("""COMPUTED_VALUE"""),2102.15)</f>
        <v>2102.15</v>
      </c>
      <c r="F55" s="1">
        <f ca="1">IFERROR(__xludf.DUMMYFUNCTION("""COMPUTED_VALUE"""),583756482)</f>
        <v>583756482</v>
      </c>
    </row>
    <row r="56" spans="1:6" ht="13" x14ac:dyDescent="0.15">
      <c r="A56" s="2">
        <f ca="1">IFERROR(__xludf.DUMMYFUNCTION("""COMPUTED_VALUE"""),42209.6666666666)</f>
        <v>42209.666666666599</v>
      </c>
      <c r="B56" s="1">
        <f ca="1">IFERROR(__xludf.DUMMYFUNCTION("""COMPUTED_VALUE"""),2102.24)</f>
        <v>2102.2399999999998</v>
      </c>
      <c r="C56" s="1">
        <f ca="1">IFERROR(__xludf.DUMMYFUNCTION("""COMPUTED_VALUE"""),2106.01)</f>
        <v>2106.0100000000002</v>
      </c>
      <c r="D56" s="1">
        <f ca="1">IFERROR(__xludf.DUMMYFUNCTION("""COMPUTED_VALUE"""),2077.09)</f>
        <v>2077.09</v>
      </c>
      <c r="E56" s="1">
        <f ca="1">IFERROR(__xludf.DUMMYFUNCTION("""COMPUTED_VALUE"""),2079.65)</f>
        <v>2079.65</v>
      </c>
      <c r="F56" s="1">
        <f ca="1">IFERROR(__xludf.DUMMYFUNCTION("""COMPUTED_VALUE"""),622862924)</f>
        <v>622862924</v>
      </c>
    </row>
    <row r="57" spans="1:6" ht="13" x14ac:dyDescent="0.15">
      <c r="A57" s="2">
        <f ca="1">IFERROR(__xludf.DUMMYFUNCTION("""COMPUTED_VALUE"""),42212.6666666666)</f>
        <v>42212.666666666599</v>
      </c>
      <c r="B57" s="1">
        <f ca="1">IFERROR(__xludf.DUMMYFUNCTION("""COMPUTED_VALUE"""),2078.19)</f>
        <v>2078.19</v>
      </c>
      <c r="C57" s="1">
        <f ca="1">IFERROR(__xludf.DUMMYFUNCTION("""COMPUTED_VALUE"""),2078.19)</f>
        <v>2078.19</v>
      </c>
      <c r="D57" s="1">
        <f ca="1">IFERROR(__xludf.DUMMYFUNCTION("""COMPUTED_VALUE"""),2063.52)</f>
        <v>2063.52</v>
      </c>
      <c r="E57" s="1">
        <f ca="1">IFERROR(__xludf.DUMMYFUNCTION("""COMPUTED_VALUE"""),2067.64)</f>
        <v>2067.64</v>
      </c>
      <c r="F57" s="1">
        <f ca="1">IFERROR(__xludf.DUMMYFUNCTION("""COMPUTED_VALUE"""),658424497)</f>
        <v>658424497</v>
      </c>
    </row>
    <row r="58" spans="1:6" ht="13" x14ac:dyDescent="0.15">
      <c r="A58" s="2">
        <f ca="1">IFERROR(__xludf.DUMMYFUNCTION("""COMPUTED_VALUE"""),42213.6666666666)</f>
        <v>42213.666666666599</v>
      </c>
      <c r="B58" s="1">
        <f ca="1">IFERROR(__xludf.DUMMYFUNCTION("""COMPUTED_VALUE"""),2070.75)</f>
        <v>2070.75</v>
      </c>
      <c r="C58" s="1">
        <f ca="1">IFERROR(__xludf.DUMMYFUNCTION("""COMPUTED_VALUE"""),2095.6)</f>
        <v>2095.6</v>
      </c>
      <c r="D58" s="1">
        <f ca="1">IFERROR(__xludf.DUMMYFUNCTION("""COMPUTED_VALUE"""),2069.09)</f>
        <v>2069.09</v>
      </c>
      <c r="E58" s="1">
        <f ca="1">IFERROR(__xludf.DUMMYFUNCTION("""COMPUTED_VALUE"""),2093.25)</f>
        <v>2093.25</v>
      </c>
      <c r="F58" s="1">
        <f ca="1">IFERROR(__xludf.DUMMYFUNCTION("""COMPUTED_VALUE"""),612199117)</f>
        <v>612199117</v>
      </c>
    </row>
    <row r="59" spans="1:6" ht="13" x14ac:dyDescent="0.15">
      <c r="A59" s="2">
        <f ca="1">IFERROR(__xludf.DUMMYFUNCTION("""COMPUTED_VALUE"""),42214.6666666666)</f>
        <v>42214.666666666599</v>
      </c>
      <c r="B59" s="1">
        <f ca="1">IFERROR(__xludf.DUMMYFUNCTION("""COMPUTED_VALUE"""),2094.7)</f>
        <v>2094.6999999999998</v>
      </c>
      <c r="C59" s="1">
        <f ca="1">IFERROR(__xludf.DUMMYFUNCTION("""COMPUTED_VALUE"""),2110.6)</f>
        <v>2110.6</v>
      </c>
      <c r="D59" s="1">
        <f ca="1">IFERROR(__xludf.DUMMYFUNCTION("""COMPUTED_VALUE"""),2094.08)</f>
        <v>2094.08</v>
      </c>
      <c r="E59" s="1">
        <f ca="1">IFERROR(__xludf.DUMMYFUNCTION("""COMPUTED_VALUE"""),2108.57)</f>
        <v>2108.5700000000002</v>
      </c>
      <c r="F59" s="1">
        <f ca="1">IFERROR(__xludf.DUMMYFUNCTION("""COMPUTED_VALUE"""),568110723)</f>
        <v>568110723</v>
      </c>
    </row>
    <row r="60" spans="1:6" ht="13" x14ac:dyDescent="0.15">
      <c r="A60" s="2">
        <f ca="1">IFERROR(__xludf.DUMMYFUNCTION("""COMPUTED_VALUE"""),42215.6666666666)</f>
        <v>42215.666666666599</v>
      </c>
      <c r="B60" s="1">
        <f ca="1">IFERROR(__xludf.DUMMYFUNCTION("""COMPUTED_VALUE"""),2106.78)</f>
        <v>2106.7800000000002</v>
      </c>
      <c r="C60" s="1">
        <f ca="1">IFERROR(__xludf.DUMMYFUNCTION("""COMPUTED_VALUE"""),2110.48)</f>
        <v>2110.48</v>
      </c>
      <c r="D60" s="1">
        <f ca="1">IFERROR(__xludf.DUMMYFUNCTION("""COMPUTED_VALUE"""),2094.97)</f>
        <v>2094.9699999999998</v>
      </c>
      <c r="E60" s="1">
        <f ca="1">IFERROR(__xludf.DUMMYFUNCTION("""COMPUTED_VALUE"""),2108.63)</f>
        <v>2108.63</v>
      </c>
      <c r="F60" s="1">
        <f ca="1">IFERROR(__xludf.DUMMYFUNCTION("""COMPUTED_VALUE"""),505302182)</f>
        <v>505302182</v>
      </c>
    </row>
    <row r="61" spans="1:6" ht="13" x14ac:dyDescent="0.15">
      <c r="A61" s="2">
        <f ca="1">IFERROR(__xludf.DUMMYFUNCTION("""COMPUTED_VALUE"""),42216.6666666666)</f>
        <v>42216.666666666599</v>
      </c>
      <c r="B61" s="1">
        <f ca="1">IFERROR(__xludf.DUMMYFUNCTION("""COMPUTED_VALUE"""),2111.6)</f>
        <v>2111.6</v>
      </c>
      <c r="C61" s="1">
        <f ca="1">IFERROR(__xludf.DUMMYFUNCTION("""COMPUTED_VALUE"""),2114.24)</f>
        <v>2114.2399999999998</v>
      </c>
      <c r="D61" s="1">
        <f ca="1">IFERROR(__xludf.DUMMYFUNCTION("""COMPUTED_VALUE"""),2102.07)</f>
        <v>2102.0700000000002</v>
      </c>
      <c r="E61" s="1">
        <f ca="1">IFERROR(__xludf.DUMMYFUNCTION("""COMPUTED_VALUE"""),2103.84)</f>
        <v>2103.84</v>
      </c>
      <c r="F61" s="1">
        <f ca="1">IFERROR(__xludf.DUMMYFUNCTION("""COMPUTED_VALUE"""),639716945)</f>
        <v>639716945</v>
      </c>
    </row>
    <row r="62" spans="1:6" ht="13" x14ac:dyDescent="0.15">
      <c r="A62" s="2">
        <f ca="1">IFERROR(__xludf.DUMMYFUNCTION("""COMPUTED_VALUE"""),42219.6666666666)</f>
        <v>42219.666666666599</v>
      </c>
      <c r="B62" s="1">
        <f ca="1">IFERROR(__xludf.DUMMYFUNCTION("""COMPUTED_VALUE"""),2104.49)</f>
        <v>2104.4899999999998</v>
      </c>
      <c r="C62" s="1">
        <f ca="1">IFERROR(__xludf.DUMMYFUNCTION("""COMPUTED_VALUE"""),2105.7)</f>
        <v>2105.6999999999998</v>
      </c>
      <c r="D62" s="1">
        <f ca="1">IFERROR(__xludf.DUMMYFUNCTION("""COMPUTED_VALUE"""),2087.31)</f>
        <v>2087.31</v>
      </c>
      <c r="E62" s="1">
        <f ca="1">IFERROR(__xludf.DUMMYFUNCTION("""COMPUTED_VALUE"""),2098.04)</f>
        <v>2098.04</v>
      </c>
      <c r="F62" s="1">
        <f ca="1">IFERROR(__xludf.DUMMYFUNCTION("""COMPUTED_VALUE"""),546235777)</f>
        <v>546235777</v>
      </c>
    </row>
    <row r="63" spans="1:6" ht="13" x14ac:dyDescent="0.15">
      <c r="A63" s="2">
        <f ca="1">IFERROR(__xludf.DUMMYFUNCTION("""COMPUTED_VALUE"""),42220.6666666666)</f>
        <v>42220.666666666599</v>
      </c>
      <c r="B63" s="1">
        <f ca="1">IFERROR(__xludf.DUMMYFUNCTION("""COMPUTED_VALUE"""),2097.68)</f>
        <v>2097.6799999999998</v>
      </c>
      <c r="C63" s="1">
        <f ca="1">IFERROR(__xludf.DUMMYFUNCTION("""COMPUTED_VALUE"""),2102.51)</f>
        <v>2102.5100000000002</v>
      </c>
      <c r="D63" s="1">
        <f ca="1">IFERROR(__xludf.DUMMYFUNCTION("""COMPUTED_VALUE"""),2088.6)</f>
        <v>2088.6</v>
      </c>
      <c r="E63" s="1">
        <f ca="1">IFERROR(__xludf.DUMMYFUNCTION("""COMPUTED_VALUE"""),2093.32)</f>
        <v>2093.3200000000002</v>
      </c>
      <c r="F63" s="1">
        <f ca="1">IFERROR(__xludf.DUMMYFUNCTION("""COMPUTED_VALUE"""),545885014)</f>
        <v>545885014</v>
      </c>
    </row>
    <row r="64" spans="1:6" ht="13" x14ac:dyDescent="0.15">
      <c r="A64" s="2">
        <f ca="1">IFERROR(__xludf.DUMMYFUNCTION("""COMPUTED_VALUE"""),42221.6666666666)</f>
        <v>42221.666666666599</v>
      </c>
      <c r="B64" s="1">
        <f ca="1">IFERROR(__xludf.DUMMYFUNCTION("""COMPUTED_VALUE"""),2095.27)</f>
        <v>2095.27</v>
      </c>
      <c r="C64" s="1">
        <f ca="1">IFERROR(__xludf.DUMMYFUNCTION("""COMPUTED_VALUE"""),2112.66)</f>
        <v>2112.66</v>
      </c>
      <c r="D64" s="1">
        <f ca="1">IFERROR(__xludf.DUMMYFUNCTION("""COMPUTED_VALUE"""),2095.27)</f>
        <v>2095.27</v>
      </c>
      <c r="E64" s="1">
        <f ca="1">IFERROR(__xludf.DUMMYFUNCTION("""COMPUTED_VALUE"""),2099.84)</f>
        <v>2099.84</v>
      </c>
      <c r="F64" s="1">
        <f ca="1">IFERROR(__xludf.DUMMYFUNCTION("""COMPUTED_VALUE"""),580780772)</f>
        <v>580780772</v>
      </c>
    </row>
    <row r="65" spans="1:6" ht="13" x14ac:dyDescent="0.15">
      <c r="A65" s="2">
        <f ca="1">IFERROR(__xludf.DUMMYFUNCTION("""COMPUTED_VALUE"""),42222.6666666666)</f>
        <v>42222.666666666599</v>
      </c>
      <c r="B65" s="1">
        <f ca="1">IFERROR(__xludf.DUMMYFUNCTION("""COMPUTED_VALUE"""),2100.75)</f>
        <v>2100.75</v>
      </c>
      <c r="C65" s="1">
        <f ca="1">IFERROR(__xludf.DUMMYFUNCTION("""COMPUTED_VALUE"""),2103.32)</f>
        <v>2103.3200000000002</v>
      </c>
      <c r="D65" s="1">
        <f ca="1">IFERROR(__xludf.DUMMYFUNCTION("""COMPUTED_VALUE"""),2075.53)</f>
        <v>2075.5300000000002</v>
      </c>
      <c r="E65" s="1">
        <f ca="1">IFERROR(__xludf.DUMMYFUNCTION("""COMPUTED_VALUE"""),2083.56)</f>
        <v>2083.56</v>
      </c>
      <c r="F65" s="1">
        <f ca="1">IFERROR(__xludf.DUMMYFUNCTION("""COMPUTED_VALUE"""),611690579)</f>
        <v>611690579</v>
      </c>
    </row>
    <row r="66" spans="1:6" ht="13" x14ac:dyDescent="0.15">
      <c r="A66" s="2">
        <f ca="1">IFERROR(__xludf.DUMMYFUNCTION("""COMPUTED_VALUE"""),42223.6666666666)</f>
        <v>42223.666666666599</v>
      </c>
      <c r="B66" s="1">
        <f ca="1">IFERROR(__xludf.DUMMYFUNCTION("""COMPUTED_VALUE"""),2082.61)</f>
        <v>2082.61</v>
      </c>
      <c r="C66" s="1">
        <f ca="1">IFERROR(__xludf.DUMMYFUNCTION("""COMPUTED_VALUE"""),2082.61)</f>
        <v>2082.61</v>
      </c>
      <c r="D66" s="1">
        <f ca="1">IFERROR(__xludf.DUMMYFUNCTION("""COMPUTED_VALUE"""),2067.91)</f>
        <v>2067.91</v>
      </c>
      <c r="E66" s="1">
        <f ca="1">IFERROR(__xludf.DUMMYFUNCTION("""COMPUTED_VALUE"""),2077.57)</f>
        <v>2077.5700000000002</v>
      </c>
      <c r="F66" s="1">
        <f ca="1">IFERROR(__xludf.DUMMYFUNCTION("""COMPUTED_VALUE"""),529686686)</f>
        <v>529686686</v>
      </c>
    </row>
    <row r="67" spans="1:6" ht="13" x14ac:dyDescent="0.15">
      <c r="A67" s="2">
        <f ca="1">IFERROR(__xludf.DUMMYFUNCTION("""COMPUTED_VALUE"""),42226.6666666666)</f>
        <v>42226.666666666599</v>
      </c>
      <c r="B67" s="1">
        <f ca="1">IFERROR(__xludf.DUMMYFUNCTION("""COMPUTED_VALUE"""),2080.98)</f>
        <v>2080.98</v>
      </c>
      <c r="C67" s="1">
        <f ca="1">IFERROR(__xludf.DUMMYFUNCTION("""COMPUTED_VALUE"""),2105.35)</f>
        <v>2105.35</v>
      </c>
      <c r="D67" s="1">
        <f ca="1">IFERROR(__xludf.DUMMYFUNCTION("""COMPUTED_VALUE"""),2080.98)</f>
        <v>2080.98</v>
      </c>
      <c r="E67" s="1">
        <f ca="1">IFERROR(__xludf.DUMMYFUNCTION("""COMPUTED_VALUE"""),2104.18)</f>
        <v>2104.1799999999998</v>
      </c>
      <c r="F67" s="1">
        <f ca="1">IFERROR(__xludf.DUMMYFUNCTION("""COMPUTED_VALUE"""),536952747)</f>
        <v>536952747</v>
      </c>
    </row>
    <row r="68" spans="1:6" ht="13" x14ac:dyDescent="0.15">
      <c r="A68" s="2">
        <f ca="1">IFERROR(__xludf.DUMMYFUNCTION("""COMPUTED_VALUE"""),42227.6666666666)</f>
        <v>42227.666666666599</v>
      </c>
      <c r="B68" s="1">
        <f ca="1">IFERROR(__xludf.DUMMYFUNCTION("""COMPUTED_VALUE"""),2102.66)</f>
        <v>2102.66</v>
      </c>
      <c r="C68" s="1">
        <f ca="1">IFERROR(__xludf.DUMMYFUNCTION("""COMPUTED_VALUE"""),2102.66)</f>
        <v>2102.66</v>
      </c>
      <c r="D68" s="1">
        <f ca="1">IFERROR(__xludf.DUMMYFUNCTION("""COMPUTED_VALUE"""),2076.49)</f>
        <v>2076.4899999999998</v>
      </c>
      <c r="E68" s="1">
        <f ca="1">IFERROR(__xludf.DUMMYFUNCTION("""COMPUTED_VALUE"""),2084.07)</f>
        <v>2084.0700000000002</v>
      </c>
      <c r="F68" s="1">
        <f ca="1">IFERROR(__xludf.DUMMYFUNCTION("""COMPUTED_VALUE"""),562080936)</f>
        <v>562080936</v>
      </c>
    </row>
    <row r="69" spans="1:6" ht="13" x14ac:dyDescent="0.15">
      <c r="A69" s="2">
        <f ca="1">IFERROR(__xludf.DUMMYFUNCTION("""COMPUTED_VALUE"""),42228.6666666666)</f>
        <v>42228.666666666599</v>
      </c>
      <c r="B69" s="1">
        <f ca="1">IFERROR(__xludf.DUMMYFUNCTION("""COMPUTED_VALUE"""),2081.1)</f>
        <v>2081.1</v>
      </c>
      <c r="C69" s="1">
        <f ca="1">IFERROR(__xludf.DUMMYFUNCTION("""COMPUTED_VALUE"""),2089.06)</f>
        <v>2089.06</v>
      </c>
      <c r="D69" s="1">
        <f ca="1">IFERROR(__xludf.DUMMYFUNCTION("""COMPUTED_VALUE"""),2052.09)</f>
        <v>2052.09</v>
      </c>
      <c r="E69" s="1">
        <f ca="1">IFERROR(__xludf.DUMMYFUNCTION("""COMPUTED_VALUE"""),2086.05)</f>
        <v>2086.0500000000002</v>
      </c>
      <c r="F69" s="1">
        <f ca="1">IFERROR(__xludf.DUMMYFUNCTION("""COMPUTED_VALUE"""),632320464)</f>
        <v>632320464</v>
      </c>
    </row>
    <row r="70" spans="1:6" ht="13" x14ac:dyDescent="0.15">
      <c r="A70" s="2">
        <f ca="1">IFERROR(__xludf.DUMMYFUNCTION("""COMPUTED_VALUE"""),42229.6666666666)</f>
        <v>42229.666666666599</v>
      </c>
      <c r="B70" s="1">
        <f ca="1">IFERROR(__xludf.DUMMYFUNCTION("""COMPUTED_VALUE"""),2086.19)</f>
        <v>2086.19</v>
      </c>
      <c r="C70" s="1">
        <f ca="1">IFERROR(__xludf.DUMMYFUNCTION("""COMPUTED_VALUE"""),2092.93)</f>
        <v>2092.9299999999998</v>
      </c>
      <c r="D70" s="1">
        <f ca="1">IFERROR(__xludf.DUMMYFUNCTION("""COMPUTED_VALUE"""),2078.26)</f>
        <v>2078.2600000000002</v>
      </c>
      <c r="E70" s="1">
        <f ca="1">IFERROR(__xludf.DUMMYFUNCTION("""COMPUTED_VALUE"""),2083.39)</f>
        <v>2083.39</v>
      </c>
      <c r="F70" s="1">
        <f ca="1">IFERROR(__xludf.DUMMYFUNCTION("""COMPUTED_VALUE"""),502475309)</f>
        <v>502475309</v>
      </c>
    </row>
    <row r="71" spans="1:6" ht="13" x14ac:dyDescent="0.15">
      <c r="A71" s="2">
        <f ca="1">IFERROR(__xludf.DUMMYFUNCTION("""COMPUTED_VALUE"""),42230.6666666666)</f>
        <v>42230.666666666599</v>
      </c>
      <c r="B71" s="1">
        <f ca="1">IFERROR(__xludf.DUMMYFUNCTION("""COMPUTED_VALUE"""),2083.15)</f>
        <v>2083.15</v>
      </c>
      <c r="C71" s="1">
        <f ca="1">IFERROR(__xludf.DUMMYFUNCTION("""COMPUTED_VALUE"""),2092.45)</f>
        <v>2092.4499999999998</v>
      </c>
      <c r="D71" s="1">
        <f ca="1">IFERROR(__xludf.DUMMYFUNCTION("""COMPUTED_VALUE"""),2080.61)</f>
        <v>2080.61</v>
      </c>
      <c r="E71" s="1">
        <f ca="1">IFERROR(__xludf.DUMMYFUNCTION("""COMPUTED_VALUE"""),2091.54)</f>
        <v>2091.54</v>
      </c>
      <c r="F71" s="1">
        <f ca="1">IFERROR(__xludf.DUMMYFUNCTION("""COMPUTED_VALUE"""),448636523)</f>
        <v>448636523</v>
      </c>
    </row>
    <row r="72" spans="1:6" ht="13" x14ac:dyDescent="0.15">
      <c r="A72" s="2">
        <f ca="1">IFERROR(__xludf.DUMMYFUNCTION("""COMPUTED_VALUE"""),42233.6666666666)</f>
        <v>42233.666666666599</v>
      </c>
      <c r="B72" s="1">
        <f ca="1">IFERROR(__xludf.DUMMYFUNCTION("""COMPUTED_VALUE"""),2089.7)</f>
        <v>2089.6999999999998</v>
      </c>
      <c r="C72" s="1">
        <f ca="1">IFERROR(__xludf.DUMMYFUNCTION("""COMPUTED_VALUE"""),2102.87)</f>
        <v>2102.87</v>
      </c>
      <c r="D72" s="1">
        <f ca="1">IFERROR(__xludf.DUMMYFUNCTION("""COMPUTED_VALUE"""),2079.3)</f>
        <v>2079.3000000000002</v>
      </c>
      <c r="E72" s="1">
        <f ca="1">IFERROR(__xludf.DUMMYFUNCTION("""COMPUTED_VALUE"""),2102.44)</f>
        <v>2102.44</v>
      </c>
      <c r="F72" s="1">
        <f ca="1">IFERROR(__xludf.DUMMYFUNCTION("""COMPUTED_VALUE"""),426042175)</f>
        <v>426042175</v>
      </c>
    </row>
    <row r="73" spans="1:6" ht="13" x14ac:dyDescent="0.15">
      <c r="A73" s="2">
        <f ca="1">IFERROR(__xludf.DUMMYFUNCTION("""COMPUTED_VALUE"""),42234.6666666666)</f>
        <v>42234.666666666599</v>
      </c>
      <c r="B73" s="1">
        <f ca="1">IFERROR(__xludf.DUMMYFUNCTION("""COMPUTED_VALUE"""),2101.99)</f>
        <v>2101.9899999999998</v>
      </c>
      <c r="C73" s="1">
        <f ca="1">IFERROR(__xludf.DUMMYFUNCTION("""COMPUTED_VALUE"""),2103.47)</f>
        <v>2103.4699999999998</v>
      </c>
      <c r="D73" s="1">
        <f ca="1">IFERROR(__xludf.DUMMYFUNCTION("""COMPUTED_VALUE"""),2094.14)</f>
        <v>2094.14</v>
      </c>
      <c r="E73" s="1">
        <f ca="1">IFERROR(__xludf.DUMMYFUNCTION("""COMPUTED_VALUE"""),2096.92)</f>
        <v>2096.92</v>
      </c>
      <c r="F73" s="1">
        <f ca="1">IFERROR(__xludf.DUMMYFUNCTION("""COMPUTED_VALUE"""),444211630)</f>
        <v>444211630</v>
      </c>
    </row>
    <row r="74" spans="1:6" ht="13" x14ac:dyDescent="0.15">
      <c r="A74" s="2">
        <f ca="1">IFERROR(__xludf.DUMMYFUNCTION("""COMPUTED_VALUE"""),42235.6666666666)</f>
        <v>42235.666666666599</v>
      </c>
      <c r="B74" s="1">
        <f ca="1">IFERROR(__xludf.DUMMYFUNCTION("""COMPUTED_VALUE"""),2095.69)</f>
        <v>2095.69</v>
      </c>
      <c r="C74" s="1">
        <f ca="1">IFERROR(__xludf.DUMMYFUNCTION("""COMPUTED_VALUE"""),2096.17)</f>
        <v>2096.17</v>
      </c>
      <c r="D74" s="1">
        <f ca="1">IFERROR(__xludf.DUMMYFUNCTION("""COMPUTED_VALUE"""),2070.53)</f>
        <v>2070.5300000000002</v>
      </c>
      <c r="E74" s="1">
        <f ca="1">IFERROR(__xludf.DUMMYFUNCTION("""COMPUTED_VALUE"""),2079.61)</f>
        <v>2079.61</v>
      </c>
      <c r="F74" s="1">
        <f ca="1">IFERROR(__xludf.DUMMYFUNCTION("""COMPUTED_VALUE"""),571231726)</f>
        <v>571231726</v>
      </c>
    </row>
    <row r="75" spans="1:6" ht="13" x14ac:dyDescent="0.15">
      <c r="A75" s="2">
        <f ca="1">IFERROR(__xludf.DUMMYFUNCTION("""COMPUTED_VALUE"""),42236.6666666666)</f>
        <v>42236.666666666599</v>
      </c>
      <c r="B75" s="1">
        <f ca="1">IFERROR(__xludf.DUMMYFUNCTION("""COMPUTED_VALUE"""),2076.61)</f>
        <v>2076.61</v>
      </c>
      <c r="C75" s="1">
        <f ca="1">IFERROR(__xludf.DUMMYFUNCTION("""COMPUTED_VALUE"""),2076.61)</f>
        <v>2076.61</v>
      </c>
      <c r="D75" s="1">
        <f ca="1">IFERROR(__xludf.DUMMYFUNCTION("""COMPUTED_VALUE"""),2035.73)</f>
        <v>2035.73</v>
      </c>
      <c r="E75" s="1">
        <f ca="1">IFERROR(__xludf.DUMMYFUNCTION("""COMPUTED_VALUE"""),2035.73)</f>
        <v>2035.73</v>
      </c>
      <c r="F75" s="1">
        <f ca="1">IFERROR(__xludf.DUMMYFUNCTION("""COMPUTED_VALUE"""),674625605)</f>
        <v>674625605</v>
      </c>
    </row>
    <row r="76" spans="1:6" ht="13" x14ac:dyDescent="0.15">
      <c r="A76" s="2">
        <f ca="1">IFERROR(__xludf.DUMMYFUNCTION("""COMPUTED_VALUE"""),42237.6666666666)</f>
        <v>42237.666666666599</v>
      </c>
      <c r="B76" s="1">
        <f ca="1">IFERROR(__xludf.DUMMYFUNCTION("""COMPUTED_VALUE"""),2034.08)</f>
        <v>2034.08</v>
      </c>
      <c r="C76" s="1">
        <f ca="1">IFERROR(__xludf.DUMMYFUNCTION("""COMPUTED_VALUE"""),2034.08)</f>
        <v>2034.08</v>
      </c>
      <c r="D76" s="1">
        <f ca="1">IFERROR(__xludf.DUMMYFUNCTION("""COMPUTED_VALUE"""),1970.89)</f>
        <v>1970.89</v>
      </c>
      <c r="E76" s="1">
        <f ca="1">IFERROR(__xludf.DUMMYFUNCTION("""COMPUTED_VALUE"""),1970.89)</f>
        <v>1970.89</v>
      </c>
      <c r="F76" s="1">
        <f ca="1">IFERROR(__xludf.DUMMYFUNCTION("""COMPUTED_VALUE"""),1064386975)</f>
        <v>1064386975</v>
      </c>
    </row>
    <row r="77" spans="1:6" ht="13" x14ac:dyDescent="0.15">
      <c r="A77" s="2">
        <f ca="1">IFERROR(__xludf.DUMMYFUNCTION("""COMPUTED_VALUE"""),42240.6666666666)</f>
        <v>42240.666666666599</v>
      </c>
      <c r="B77" s="1">
        <f ca="1">IFERROR(__xludf.DUMMYFUNCTION("""COMPUTED_VALUE"""),1965.15)</f>
        <v>1965.15</v>
      </c>
      <c r="C77" s="1">
        <f ca="1">IFERROR(__xludf.DUMMYFUNCTION("""COMPUTED_VALUE"""),1965.15)</f>
        <v>1965.15</v>
      </c>
      <c r="D77" s="1">
        <f ca="1">IFERROR(__xludf.DUMMYFUNCTION("""COMPUTED_VALUE"""),1867.01)</f>
        <v>1867.01</v>
      </c>
      <c r="E77" s="1">
        <f ca="1">IFERROR(__xludf.DUMMYFUNCTION("""COMPUTED_VALUE"""),1893.21)</f>
        <v>1893.21</v>
      </c>
      <c r="F77" s="1">
        <f ca="1">IFERROR(__xludf.DUMMYFUNCTION("""COMPUTED_VALUE"""),259667692)</f>
        <v>259667692</v>
      </c>
    </row>
    <row r="78" spans="1:6" ht="13" x14ac:dyDescent="0.15">
      <c r="A78" s="2">
        <f ca="1">IFERROR(__xludf.DUMMYFUNCTION("""COMPUTED_VALUE"""),42241.6666666666)</f>
        <v>42241.666666666599</v>
      </c>
      <c r="B78" s="1">
        <f ca="1">IFERROR(__xludf.DUMMYFUNCTION("""COMPUTED_VALUE"""),1898.08)</f>
        <v>1898.08</v>
      </c>
      <c r="C78" s="1">
        <f ca="1">IFERROR(__xludf.DUMMYFUNCTION("""COMPUTED_VALUE"""),1948.04)</f>
        <v>1948.04</v>
      </c>
      <c r="D78" s="1">
        <f ca="1">IFERROR(__xludf.DUMMYFUNCTION("""COMPUTED_VALUE"""),1867.08)</f>
        <v>1867.08</v>
      </c>
      <c r="E78" s="1">
        <f ca="1">IFERROR(__xludf.DUMMYFUNCTION("""COMPUTED_VALUE"""),1867.61)</f>
        <v>1867.61</v>
      </c>
      <c r="F78" s="1">
        <f ca="1">IFERROR(__xludf.DUMMYFUNCTION("""COMPUTED_VALUE"""),1051285330)</f>
        <v>1051285330</v>
      </c>
    </row>
    <row r="79" spans="1:6" ht="13" x14ac:dyDescent="0.15">
      <c r="A79" s="2">
        <f ca="1">IFERROR(__xludf.DUMMYFUNCTION("""COMPUTED_VALUE"""),42242.6666666666)</f>
        <v>42242.666666666599</v>
      </c>
      <c r="B79" s="1">
        <f ca="1">IFERROR(__xludf.DUMMYFUNCTION("""COMPUTED_VALUE"""),1872.75)</f>
        <v>1872.75</v>
      </c>
      <c r="C79" s="1">
        <f ca="1">IFERROR(__xludf.DUMMYFUNCTION("""COMPUTED_VALUE"""),1943.09)</f>
        <v>1943.09</v>
      </c>
      <c r="D79" s="1">
        <f ca="1">IFERROR(__xludf.DUMMYFUNCTION("""COMPUTED_VALUE"""),1872.75)</f>
        <v>1872.75</v>
      </c>
      <c r="E79" s="1">
        <f ca="1">IFERROR(__xludf.DUMMYFUNCTION("""COMPUTED_VALUE"""),1940.51)</f>
        <v>1940.51</v>
      </c>
      <c r="F79" s="1">
        <f ca="1">IFERROR(__xludf.DUMMYFUNCTION("""COMPUTED_VALUE"""),1028890548)</f>
        <v>1028890548</v>
      </c>
    </row>
    <row r="80" spans="1:6" ht="13" x14ac:dyDescent="0.15">
      <c r="A80" s="2">
        <f ca="1">IFERROR(__xludf.DUMMYFUNCTION("""COMPUTED_VALUE"""),42243.6666666666)</f>
        <v>42243.666666666599</v>
      </c>
      <c r="B80" s="1">
        <f ca="1">IFERROR(__xludf.DUMMYFUNCTION("""COMPUTED_VALUE"""),1942.77)</f>
        <v>1942.77</v>
      </c>
      <c r="C80" s="1">
        <f ca="1">IFERROR(__xludf.DUMMYFUNCTION("""COMPUTED_VALUE"""),1989.6)</f>
        <v>1989.6</v>
      </c>
      <c r="D80" s="1">
        <f ca="1">IFERROR(__xludf.DUMMYFUNCTION("""COMPUTED_VALUE"""),1942.77)</f>
        <v>1942.77</v>
      </c>
      <c r="E80" s="1">
        <f ca="1">IFERROR(__xludf.DUMMYFUNCTION("""COMPUTED_VALUE"""),1987.66)</f>
        <v>1987.66</v>
      </c>
      <c r="F80" s="1">
        <f ca="1">IFERROR(__xludf.DUMMYFUNCTION("""COMPUTED_VALUE"""),924279973)</f>
        <v>924279973</v>
      </c>
    </row>
    <row r="81" spans="1:6" ht="13" x14ac:dyDescent="0.15">
      <c r="A81" s="2">
        <f ca="1">IFERROR(__xludf.DUMMYFUNCTION("""COMPUTED_VALUE"""),42244.6666666666)</f>
        <v>42244.666666666599</v>
      </c>
      <c r="B81" s="1">
        <f ca="1">IFERROR(__xludf.DUMMYFUNCTION("""COMPUTED_VALUE"""),1986.06)</f>
        <v>1986.06</v>
      </c>
      <c r="C81" s="1">
        <f ca="1">IFERROR(__xludf.DUMMYFUNCTION("""COMPUTED_VALUE"""),1993.48)</f>
        <v>1993.48</v>
      </c>
      <c r="D81" s="1">
        <f ca="1">IFERROR(__xludf.DUMMYFUNCTION("""COMPUTED_VALUE"""),1975.19)</f>
        <v>1975.19</v>
      </c>
      <c r="E81" s="1">
        <f ca="1">IFERROR(__xludf.DUMMYFUNCTION("""COMPUTED_VALUE"""),1988.87)</f>
        <v>1988.87</v>
      </c>
      <c r="F81" s="1">
        <f ca="1">IFERROR(__xludf.DUMMYFUNCTION("""COMPUTED_VALUE"""),723484652)</f>
        <v>723484652</v>
      </c>
    </row>
    <row r="82" spans="1:6" ht="13" x14ac:dyDescent="0.15">
      <c r="A82" s="2">
        <f ca="1">IFERROR(__xludf.DUMMYFUNCTION("""COMPUTED_VALUE"""),42247.6666666666)</f>
        <v>42247.666666666599</v>
      </c>
      <c r="B82" s="1">
        <f ca="1">IFERROR(__xludf.DUMMYFUNCTION("""COMPUTED_VALUE"""),1986.73)</f>
        <v>1986.73</v>
      </c>
      <c r="C82" s="1">
        <f ca="1">IFERROR(__xludf.DUMMYFUNCTION("""COMPUTED_VALUE"""),1986.73)</f>
        <v>1986.73</v>
      </c>
      <c r="D82" s="1">
        <f ca="1">IFERROR(__xludf.DUMMYFUNCTION("""COMPUTED_VALUE"""),1965.98)</f>
        <v>1965.98</v>
      </c>
      <c r="E82" s="1">
        <f ca="1">IFERROR(__xludf.DUMMYFUNCTION("""COMPUTED_VALUE"""),1972.18)</f>
        <v>1972.18</v>
      </c>
      <c r="F82" s="1">
        <f ca="1">IFERROR(__xludf.DUMMYFUNCTION("""COMPUTED_VALUE"""),764741387)</f>
        <v>764741387</v>
      </c>
    </row>
    <row r="83" spans="1:6" ht="13" x14ac:dyDescent="0.15">
      <c r="A83" s="2">
        <f ca="1">IFERROR(__xludf.DUMMYFUNCTION("""COMPUTED_VALUE"""),42248.6666666666)</f>
        <v>42248.666666666599</v>
      </c>
      <c r="B83" s="1">
        <f ca="1">IFERROR(__xludf.DUMMYFUNCTION("""COMPUTED_VALUE"""),1970.09)</f>
        <v>1970.09</v>
      </c>
      <c r="C83" s="1">
        <f ca="1">IFERROR(__xludf.DUMMYFUNCTION("""COMPUTED_VALUE"""),1970.09)</f>
        <v>1970.09</v>
      </c>
      <c r="D83" s="1">
        <f ca="1">IFERROR(__xludf.DUMMYFUNCTION("""COMPUTED_VALUE"""),1903.07)</f>
        <v>1903.07</v>
      </c>
      <c r="E83" s="1">
        <f ca="1">IFERROR(__xludf.DUMMYFUNCTION("""COMPUTED_VALUE"""),1913.85)</f>
        <v>1913.85</v>
      </c>
      <c r="F83" s="1">
        <f ca="1">IFERROR(__xludf.DUMMYFUNCTION("""COMPUTED_VALUE"""),870125463)</f>
        <v>870125463</v>
      </c>
    </row>
    <row r="84" spans="1:6" ht="13" x14ac:dyDescent="0.15">
      <c r="A84" s="2">
        <f ca="1">IFERROR(__xludf.DUMMYFUNCTION("""COMPUTED_VALUE"""),42249.6666666666)</f>
        <v>42249.666666666599</v>
      </c>
      <c r="B84" s="1">
        <f ca="1">IFERROR(__xludf.DUMMYFUNCTION("""COMPUTED_VALUE"""),1916.52)</f>
        <v>1916.52</v>
      </c>
      <c r="C84" s="1">
        <f ca="1">IFERROR(__xludf.DUMMYFUNCTION("""COMPUTED_VALUE"""),1948.91)</f>
        <v>1948.91</v>
      </c>
      <c r="D84" s="1">
        <f ca="1">IFERROR(__xludf.DUMMYFUNCTION("""COMPUTED_VALUE"""),1916.52)</f>
        <v>1916.52</v>
      </c>
      <c r="E84" s="1">
        <f ca="1">IFERROR(__xludf.DUMMYFUNCTION("""COMPUTED_VALUE"""),1948.86)</f>
        <v>1948.86</v>
      </c>
      <c r="F84" s="1">
        <f ca="1">IFERROR(__xludf.DUMMYFUNCTION("""COMPUTED_VALUE"""),732830759)</f>
        <v>732830759</v>
      </c>
    </row>
    <row r="85" spans="1:6" ht="13" x14ac:dyDescent="0.15">
      <c r="A85" s="2">
        <f ca="1">IFERROR(__xludf.DUMMYFUNCTION("""COMPUTED_VALUE"""),42250.6666666666)</f>
        <v>42250.666666666599</v>
      </c>
      <c r="B85" s="1">
        <f ca="1">IFERROR(__xludf.DUMMYFUNCTION("""COMPUTED_VALUE"""),1950.79)</f>
        <v>1950.79</v>
      </c>
      <c r="C85" s="1">
        <f ca="1">IFERROR(__xludf.DUMMYFUNCTION("""COMPUTED_VALUE"""),1975.01)</f>
        <v>1975.01</v>
      </c>
      <c r="D85" s="1">
        <f ca="1">IFERROR(__xludf.DUMMYFUNCTION("""COMPUTED_VALUE"""),1944.72)</f>
        <v>1944.72</v>
      </c>
      <c r="E85" s="1">
        <f ca="1">IFERROR(__xludf.DUMMYFUNCTION("""COMPUTED_VALUE"""),1951.13)</f>
        <v>1951.13</v>
      </c>
      <c r="F85" s="1">
        <f ca="1">IFERROR(__xludf.DUMMYFUNCTION("""COMPUTED_VALUE"""),632699986)</f>
        <v>632699986</v>
      </c>
    </row>
    <row r="86" spans="1:6" ht="13" x14ac:dyDescent="0.15">
      <c r="A86" s="2">
        <f ca="1">IFERROR(__xludf.DUMMYFUNCTION("""COMPUTED_VALUE"""),42251.6666666666)</f>
        <v>42251.666666666599</v>
      </c>
      <c r="B86" s="1">
        <f ca="1">IFERROR(__xludf.DUMMYFUNCTION("""COMPUTED_VALUE"""),1947.76)</f>
        <v>1947.76</v>
      </c>
      <c r="C86" s="1">
        <f ca="1">IFERROR(__xludf.DUMMYFUNCTION("""COMPUTED_VALUE"""),1947.76)</f>
        <v>1947.76</v>
      </c>
      <c r="D86" s="1">
        <f ca="1">IFERROR(__xludf.DUMMYFUNCTION("""COMPUTED_VALUE"""),1911.21)</f>
        <v>1911.21</v>
      </c>
      <c r="E86" s="1">
        <f ca="1">IFERROR(__xludf.DUMMYFUNCTION("""COMPUTED_VALUE"""),1921.22)</f>
        <v>1921.22</v>
      </c>
      <c r="F86" s="1">
        <f ca="1">IFERROR(__xludf.DUMMYFUNCTION("""COMPUTED_VALUE"""),665450828)</f>
        <v>665450828</v>
      </c>
    </row>
    <row r="87" spans="1:6" ht="13" x14ac:dyDescent="0.15">
      <c r="A87" s="2">
        <f ca="1">IFERROR(__xludf.DUMMYFUNCTION("""COMPUTED_VALUE"""),42255.6666666666)</f>
        <v>42255.666666666599</v>
      </c>
      <c r="B87" s="1">
        <f ca="1">IFERROR(__xludf.DUMMYFUNCTION("""COMPUTED_VALUE"""),1927.3)</f>
        <v>1927.3</v>
      </c>
      <c r="C87" s="1">
        <f ca="1">IFERROR(__xludf.DUMMYFUNCTION("""COMPUTED_VALUE"""),1970.42)</f>
        <v>1970.42</v>
      </c>
      <c r="D87" s="1">
        <f ca="1">IFERROR(__xludf.DUMMYFUNCTION("""COMPUTED_VALUE"""),1927.3)</f>
        <v>1927.3</v>
      </c>
      <c r="E87" s="1">
        <f ca="1">IFERROR(__xludf.DUMMYFUNCTION("""COMPUTED_VALUE"""),1969.41)</f>
        <v>1969.41</v>
      </c>
      <c r="F87" s="1">
        <f ca="1">IFERROR(__xludf.DUMMYFUNCTION("""COMPUTED_VALUE"""),683168139)</f>
        <v>683168139</v>
      </c>
    </row>
    <row r="88" spans="1:6" ht="13" x14ac:dyDescent="0.15">
      <c r="A88" s="2">
        <f ca="1">IFERROR(__xludf.DUMMYFUNCTION("""COMPUTED_VALUE"""),42256.6666666666)</f>
        <v>42256.666666666599</v>
      </c>
      <c r="B88" s="1">
        <f ca="1">IFERROR(__xludf.DUMMYFUNCTION("""COMPUTED_VALUE"""),1971.45)</f>
        <v>1971.45</v>
      </c>
      <c r="C88" s="1">
        <f ca="1">IFERROR(__xludf.DUMMYFUNCTION("""COMPUTED_VALUE"""),1988.63)</f>
        <v>1988.63</v>
      </c>
      <c r="D88" s="1">
        <f ca="1">IFERROR(__xludf.DUMMYFUNCTION("""COMPUTED_VALUE"""),1937.88)</f>
        <v>1937.88</v>
      </c>
      <c r="E88" s="1">
        <f ca="1">IFERROR(__xludf.DUMMYFUNCTION("""COMPUTED_VALUE"""),1942.04)</f>
        <v>1942.04</v>
      </c>
      <c r="F88" s="1">
        <f ca="1">IFERROR(__xludf.DUMMYFUNCTION("""COMPUTED_VALUE"""),666981166)</f>
        <v>666981166</v>
      </c>
    </row>
    <row r="89" spans="1:6" ht="13" x14ac:dyDescent="0.15">
      <c r="A89" s="2">
        <f ca="1">IFERROR(__xludf.DUMMYFUNCTION("""COMPUTED_VALUE"""),42257.6666666666)</f>
        <v>42257.666666666599</v>
      </c>
      <c r="B89" s="1">
        <f ca="1">IFERROR(__xludf.DUMMYFUNCTION("""COMPUTED_VALUE"""),1941.59)</f>
        <v>1941.59</v>
      </c>
      <c r="C89" s="1">
        <f ca="1">IFERROR(__xludf.DUMMYFUNCTION("""COMPUTED_VALUE"""),1965.29)</f>
        <v>1965.29</v>
      </c>
      <c r="D89" s="1">
        <f ca="1">IFERROR(__xludf.DUMMYFUNCTION("""COMPUTED_VALUE"""),1937.19)</f>
        <v>1937.19</v>
      </c>
      <c r="E89" s="1">
        <f ca="1">IFERROR(__xludf.DUMMYFUNCTION("""COMPUTED_VALUE"""),1952.29)</f>
        <v>1952.29</v>
      </c>
      <c r="F89" s="1">
        <f ca="1">IFERROR(__xludf.DUMMYFUNCTION("""COMPUTED_VALUE"""),668618889)</f>
        <v>668618889</v>
      </c>
    </row>
    <row r="90" spans="1:6" ht="13" x14ac:dyDescent="0.15">
      <c r="A90" s="2">
        <f ca="1">IFERROR(__xludf.DUMMYFUNCTION("""COMPUTED_VALUE"""),42258.6666666666)</f>
        <v>42258.666666666599</v>
      </c>
      <c r="B90" s="1">
        <f ca="1">IFERROR(__xludf.DUMMYFUNCTION("""COMPUTED_VALUE"""),1951.45)</f>
        <v>1951.45</v>
      </c>
      <c r="C90" s="1">
        <f ca="1">IFERROR(__xludf.DUMMYFUNCTION("""COMPUTED_VALUE"""),1961.05)</f>
        <v>1961.05</v>
      </c>
      <c r="D90" s="1">
        <f ca="1">IFERROR(__xludf.DUMMYFUNCTION("""COMPUTED_VALUE"""),1939.19)</f>
        <v>1939.19</v>
      </c>
      <c r="E90" s="1">
        <f ca="1">IFERROR(__xludf.DUMMYFUNCTION("""COMPUTED_VALUE"""),1961.05)</f>
        <v>1961.05</v>
      </c>
      <c r="F90" s="1">
        <f ca="1">IFERROR(__xludf.DUMMYFUNCTION("""COMPUTED_VALUE"""),589037146)</f>
        <v>589037146</v>
      </c>
    </row>
    <row r="91" spans="1:6" ht="13" x14ac:dyDescent="0.15">
      <c r="A91" s="2">
        <f ca="1">IFERROR(__xludf.DUMMYFUNCTION("""COMPUTED_VALUE"""),42261.6666666666)</f>
        <v>42261.666666666599</v>
      </c>
      <c r="B91" s="1">
        <f ca="1">IFERROR(__xludf.DUMMYFUNCTION("""COMPUTED_VALUE"""),1963.06)</f>
        <v>1963.06</v>
      </c>
      <c r="C91" s="1">
        <f ca="1">IFERROR(__xludf.DUMMYFUNCTION("""COMPUTED_VALUE"""),1963.06)</f>
        <v>1963.06</v>
      </c>
      <c r="D91" s="1">
        <f ca="1">IFERROR(__xludf.DUMMYFUNCTION("""COMPUTED_VALUE"""),1948.27)</f>
        <v>1948.27</v>
      </c>
      <c r="E91" s="1">
        <f ca="1">IFERROR(__xludf.DUMMYFUNCTION("""COMPUTED_VALUE"""),1953.03)</f>
        <v>1953.03</v>
      </c>
      <c r="F91" s="1">
        <f ca="1">IFERROR(__xludf.DUMMYFUNCTION("""COMPUTED_VALUE"""),546552646)</f>
        <v>546552646</v>
      </c>
    </row>
    <row r="92" spans="1:6" ht="13" x14ac:dyDescent="0.15">
      <c r="A92" s="2">
        <f ca="1">IFERROR(__xludf.DUMMYFUNCTION("""COMPUTED_VALUE"""),42262.6666666666)</f>
        <v>42262.666666666599</v>
      </c>
      <c r="B92" s="1">
        <f ca="1">IFERROR(__xludf.DUMMYFUNCTION("""COMPUTED_VALUE"""),1955.1)</f>
        <v>1955.1</v>
      </c>
      <c r="C92" s="1">
        <f ca="1">IFERROR(__xludf.DUMMYFUNCTION("""COMPUTED_VALUE"""),1983.19)</f>
        <v>1983.19</v>
      </c>
      <c r="D92" s="1">
        <f ca="1">IFERROR(__xludf.DUMMYFUNCTION("""COMPUTED_VALUE"""),1954.3)</f>
        <v>1954.3</v>
      </c>
      <c r="E92" s="1">
        <f ca="1">IFERROR(__xludf.DUMMYFUNCTION("""COMPUTED_VALUE"""),1978.09)</f>
        <v>1978.09</v>
      </c>
      <c r="F92" s="1">
        <f ca="1">IFERROR(__xludf.DUMMYFUNCTION("""COMPUTED_VALUE"""),538205710)</f>
        <v>538205710</v>
      </c>
    </row>
    <row r="93" spans="1:6" ht="13" x14ac:dyDescent="0.15">
      <c r="A93" s="2">
        <f ca="1">IFERROR(__xludf.DUMMYFUNCTION("""COMPUTED_VALUE"""),42263.6666666666)</f>
        <v>42263.666666666599</v>
      </c>
      <c r="B93" s="1">
        <f ca="1">IFERROR(__xludf.DUMMYFUNCTION("""COMPUTED_VALUE"""),1978.02)</f>
        <v>1978.02</v>
      </c>
      <c r="C93" s="1">
        <f ca="1">IFERROR(__xludf.DUMMYFUNCTION("""COMPUTED_VALUE"""),1997.26)</f>
        <v>1997.26</v>
      </c>
      <c r="D93" s="1">
        <f ca="1">IFERROR(__xludf.DUMMYFUNCTION("""COMPUTED_VALUE"""),1977.93)</f>
        <v>1977.93</v>
      </c>
      <c r="E93" s="1">
        <f ca="1">IFERROR(__xludf.DUMMYFUNCTION("""COMPUTED_VALUE"""),1995.31)</f>
        <v>1995.31</v>
      </c>
      <c r="F93" s="1">
        <f ca="1">IFERROR(__xludf.DUMMYFUNCTION("""COMPUTED_VALUE"""),592020686)</f>
        <v>592020686</v>
      </c>
    </row>
    <row r="94" spans="1:6" ht="13" x14ac:dyDescent="0.15">
      <c r="A94" s="2">
        <f ca="1">IFERROR(__xludf.DUMMYFUNCTION("""COMPUTED_VALUE"""),42264.6666666666)</f>
        <v>42264.666666666599</v>
      </c>
      <c r="B94" s="1">
        <f ca="1">IFERROR(__xludf.DUMMYFUNCTION("""COMPUTED_VALUE"""),1995.33)</f>
        <v>1995.33</v>
      </c>
      <c r="C94" s="1">
        <f ca="1">IFERROR(__xludf.DUMMYFUNCTION("""COMPUTED_VALUE"""),2020.86)</f>
        <v>2020.86</v>
      </c>
      <c r="D94" s="1">
        <f ca="1">IFERROR(__xludf.DUMMYFUNCTION("""COMPUTED_VALUE"""),1986.73)</f>
        <v>1986.73</v>
      </c>
      <c r="E94" s="1">
        <f ca="1">IFERROR(__xludf.DUMMYFUNCTION("""COMPUTED_VALUE"""),1990.2)</f>
        <v>1990.2</v>
      </c>
      <c r="F94" s="1">
        <f ca="1">IFERROR(__xludf.DUMMYFUNCTION("""COMPUTED_VALUE"""),704674713)</f>
        <v>704674713</v>
      </c>
    </row>
    <row r="95" spans="1:6" ht="13" x14ac:dyDescent="0.15">
      <c r="A95" s="2">
        <f ca="1">IFERROR(__xludf.DUMMYFUNCTION("""COMPUTED_VALUE"""),42265.6666666666)</f>
        <v>42265.666666666599</v>
      </c>
      <c r="B95" s="1">
        <f ca="1">IFERROR(__xludf.DUMMYFUNCTION("""COMPUTED_VALUE"""),1989.66)</f>
        <v>1989.66</v>
      </c>
      <c r="C95" s="1">
        <f ca="1">IFERROR(__xludf.DUMMYFUNCTION("""COMPUTED_VALUE"""),1989.66)</f>
        <v>1989.66</v>
      </c>
      <c r="D95" s="1">
        <f ca="1">IFERROR(__xludf.DUMMYFUNCTION("""COMPUTED_VALUE"""),1953.45)</f>
        <v>1953.45</v>
      </c>
      <c r="E95" s="1">
        <f ca="1">IFERROR(__xludf.DUMMYFUNCTION("""COMPUTED_VALUE"""),1958.03)</f>
        <v>1958.03</v>
      </c>
      <c r="F95" s="1">
        <f ca="1">IFERROR(__xludf.DUMMYFUNCTION("""COMPUTED_VALUE"""),787228057)</f>
        <v>787228057</v>
      </c>
    </row>
    <row r="96" spans="1:6" ht="13" x14ac:dyDescent="0.15">
      <c r="A96" s="2">
        <f ca="1">IFERROR(__xludf.DUMMYFUNCTION("""COMPUTED_VALUE"""),42268.6666666666)</f>
        <v>42268.666666666599</v>
      </c>
      <c r="B96" s="1">
        <f ca="1">IFERROR(__xludf.DUMMYFUNCTION("""COMPUTED_VALUE"""),1960.84)</f>
        <v>1960.84</v>
      </c>
      <c r="C96" s="1">
        <f ca="1">IFERROR(__xludf.DUMMYFUNCTION("""COMPUTED_VALUE"""),1979.64)</f>
        <v>1979.64</v>
      </c>
      <c r="D96" s="1">
        <f ca="1">IFERROR(__xludf.DUMMYFUNCTION("""COMPUTED_VALUE"""),1955.8)</f>
        <v>1955.8</v>
      </c>
      <c r="E96" s="1">
        <f ca="1">IFERROR(__xludf.DUMMYFUNCTION("""COMPUTED_VALUE"""),1966.97)</f>
        <v>1966.97</v>
      </c>
      <c r="F96" s="1">
        <f ca="1">IFERROR(__xludf.DUMMYFUNCTION("""COMPUTED_VALUE"""),570775068)</f>
        <v>570775068</v>
      </c>
    </row>
    <row r="97" spans="1:6" ht="13" x14ac:dyDescent="0.15">
      <c r="A97" s="2">
        <f ca="1">IFERROR(__xludf.DUMMYFUNCTION("""COMPUTED_VALUE"""),42269.6666666666)</f>
        <v>42269.666666666599</v>
      </c>
      <c r="B97" s="1">
        <f ca="1">IFERROR(__xludf.DUMMYFUNCTION("""COMPUTED_VALUE"""),1961.39)</f>
        <v>1961.39</v>
      </c>
      <c r="C97" s="1">
        <f ca="1">IFERROR(__xludf.DUMMYFUNCTION("""COMPUTED_VALUE"""),1961.39)</f>
        <v>1961.39</v>
      </c>
      <c r="D97" s="1">
        <f ca="1">IFERROR(__xludf.DUMMYFUNCTION("""COMPUTED_VALUE"""),1929.22)</f>
        <v>1929.22</v>
      </c>
      <c r="E97" s="1">
        <f ca="1">IFERROR(__xludf.DUMMYFUNCTION("""COMPUTED_VALUE"""),1942.74)</f>
        <v>1942.74</v>
      </c>
      <c r="F97" s="1">
        <f ca="1">IFERROR(__xludf.DUMMYFUNCTION("""COMPUTED_VALUE"""),692587353)</f>
        <v>692587353</v>
      </c>
    </row>
    <row r="98" spans="1:6" ht="13" x14ac:dyDescent="0.15">
      <c r="A98" s="2">
        <f ca="1">IFERROR(__xludf.DUMMYFUNCTION("""COMPUTED_VALUE"""),42270.6666666666)</f>
        <v>42270.666666666599</v>
      </c>
      <c r="B98" s="1">
        <f ca="1">IFERROR(__xludf.DUMMYFUNCTION("""COMPUTED_VALUE"""),1943.24)</f>
        <v>1943.24</v>
      </c>
      <c r="C98" s="1">
        <f ca="1">IFERROR(__xludf.DUMMYFUNCTION("""COMPUTED_VALUE"""),1949.52)</f>
        <v>1949.52</v>
      </c>
      <c r="D98" s="1">
        <f ca="1">IFERROR(__xludf.DUMMYFUNCTION("""COMPUTED_VALUE"""),1932.57)</f>
        <v>1932.57</v>
      </c>
      <c r="E98" s="1">
        <f ca="1">IFERROR(__xludf.DUMMYFUNCTION("""COMPUTED_VALUE"""),1938.76)</f>
        <v>1938.76</v>
      </c>
      <c r="F98" s="1">
        <f ca="1">IFERROR(__xludf.DUMMYFUNCTION("""COMPUTED_VALUE"""),505058172)</f>
        <v>505058172</v>
      </c>
    </row>
    <row r="99" spans="1:6" ht="13" x14ac:dyDescent="0.15">
      <c r="A99" s="2">
        <f ca="1">IFERROR(__xludf.DUMMYFUNCTION("""COMPUTED_VALUE"""),42271.6666666666)</f>
        <v>42271.666666666599</v>
      </c>
      <c r="B99" s="1">
        <f ca="1">IFERROR(__xludf.DUMMYFUNCTION("""COMPUTED_VALUE"""),1934.81)</f>
        <v>1934.81</v>
      </c>
      <c r="C99" s="1">
        <f ca="1">IFERROR(__xludf.DUMMYFUNCTION("""COMPUTED_VALUE"""),1937.17)</f>
        <v>1937.17</v>
      </c>
      <c r="D99" s="1">
        <f ca="1">IFERROR(__xludf.DUMMYFUNCTION("""COMPUTED_VALUE"""),1908.92)</f>
        <v>1908.92</v>
      </c>
      <c r="E99" s="1">
        <f ca="1">IFERROR(__xludf.DUMMYFUNCTION("""COMPUTED_VALUE"""),1932.24)</f>
        <v>1932.24</v>
      </c>
      <c r="F99" s="1">
        <f ca="1">IFERROR(__xludf.DUMMYFUNCTION("""COMPUTED_VALUE"""),715118376)</f>
        <v>715118376</v>
      </c>
    </row>
    <row r="100" spans="1:6" ht="13" x14ac:dyDescent="0.15">
      <c r="A100" s="2">
        <f ca="1">IFERROR(__xludf.DUMMYFUNCTION("""COMPUTED_VALUE"""),42272.6666666666)</f>
        <v>42272.666666666599</v>
      </c>
      <c r="B100" s="1">
        <f ca="1">IFERROR(__xludf.DUMMYFUNCTION("""COMPUTED_VALUE"""),1935.93)</f>
        <v>1935.93</v>
      </c>
      <c r="C100" s="1">
        <f ca="1">IFERROR(__xludf.DUMMYFUNCTION("""COMPUTED_VALUE"""),1952.89)</f>
        <v>1952.89</v>
      </c>
      <c r="D100" s="1">
        <f ca="1">IFERROR(__xludf.DUMMYFUNCTION("""COMPUTED_VALUE"""),1921.5)</f>
        <v>1921.5</v>
      </c>
      <c r="E100" s="1">
        <f ca="1">IFERROR(__xludf.DUMMYFUNCTION("""COMPUTED_VALUE"""),1931.34)</f>
        <v>1931.34</v>
      </c>
      <c r="F100" s="1">
        <f ca="1">IFERROR(__xludf.DUMMYFUNCTION("""COMPUTED_VALUE"""),691099595)</f>
        <v>691099595</v>
      </c>
    </row>
    <row r="101" spans="1:6" ht="13" x14ac:dyDescent="0.15">
      <c r="A101" s="2">
        <f ca="1">IFERROR(__xludf.DUMMYFUNCTION("""COMPUTED_VALUE"""),42275.6666666666)</f>
        <v>42275.666666666599</v>
      </c>
      <c r="B101" s="1">
        <f ca="1">IFERROR(__xludf.DUMMYFUNCTION("""COMPUTED_VALUE"""),1929.18)</f>
        <v>1929.18</v>
      </c>
      <c r="C101" s="1">
        <f ca="1">IFERROR(__xludf.DUMMYFUNCTION("""COMPUTED_VALUE"""),1929.18)</f>
        <v>1929.18</v>
      </c>
      <c r="D101" s="1">
        <f ca="1">IFERROR(__xludf.DUMMYFUNCTION("""COMPUTED_VALUE"""),1879.21)</f>
        <v>1879.21</v>
      </c>
      <c r="E101" s="1">
        <f ca="1">IFERROR(__xludf.DUMMYFUNCTION("""COMPUTED_VALUE"""),1881.77)</f>
        <v>1881.77</v>
      </c>
      <c r="F101" s="1">
        <f ca="1">IFERROR(__xludf.DUMMYFUNCTION("""COMPUTED_VALUE"""),776043095)</f>
        <v>776043095</v>
      </c>
    </row>
    <row r="102" spans="1:6" ht="13" x14ac:dyDescent="0.15">
      <c r="A102" s="2">
        <f ca="1">IFERROR(__xludf.DUMMYFUNCTION("""COMPUTED_VALUE"""),42276.6666666666)</f>
        <v>42276.666666666599</v>
      </c>
      <c r="B102" s="1">
        <f ca="1">IFERROR(__xludf.DUMMYFUNCTION("""COMPUTED_VALUE"""),1881.9)</f>
        <v>1881.9</v>
      </c>
      <c r="C102" s="1">
        <f ca="1">IFERROR(__xludf.DUMMYFUNCTION("""COMPUTED_VALUE"""),1899.48)</f>
        <v>1899.48</v>
      </c>
      <c r="D102" s="1">
        <f ca="1">IFERROR(__xludf.DUMMYFUNCTION("""COMPUTED_VALUE"""),1871.91)</f>
        <v>1871.91</v>
      </c>
      <c r="E102" s="1">
        <f ca="1">IFERROR(__xludf.DUMMYFUNCTION("""COMPUTED_VALUE"""),1884.09)</f>
        <v>1884.09</v>
      </c>
      <c r="F102" s="1">
        <f ca="1">IFERROR(__xludf.DUMMYFUNCTION("""COMPUTED_VALUE"""),735886295)</f>
        <v>735886295</v>
      </c>
    </row>
    <row r="103" spans="1:6" ht="13" x14ac:dyDescent="0.15">
      <c r="A103" s="2">
        <f ca="1">IFERROR(__xludf.DUMMYFUNCTION("""COMPUTED_VALUE"""),42277.6666666666)</f>
        <v>42277.666666666599</v>
      </c>
      <c r="B103" s="1">
        <f ca="1">IFERROR(__xludf.DUMMYFUNCTION("""COMPUTED_VALUE"""),1887.14)</f>
        <v>1887.14</v>
      </c>
      <c r="C103" s="1">
        <f ca="1">IFERROR(__xludf.DUMMYFUNCTION("""COMPUTED_VALUE"""),1920.53)</f>
        <v>1920.53</v>
      </c>
      <c r="D103" s="1">
        <f ca="1">IFERROR(__xludf.DUMMYFUNCTION("""COMPUTED_VALUE"""),1887.14)</f>
        <v>1887.14</v>
      </c>
      <c r="E103" s="1">
        <f ca="1">IFERROR(__xludf.DUMMYFUNCTION("""COMPUTED_VALUE"""),1920.03)</f>
        <v>1920.03</v>
      </c>
      <c r="F103" s="1">
        <f ca="1">IFERROR(__xludf.DUMMYFUNCTION("""COMPUTED_VALUE"""),848521002)</f>
        <v>848521002</v>
      </c>
    </row>
    <row r="104" spans="1:6" ht="13" x14ac:dyDescent="0.15">
      <c r="A104" s="2">
        <f ca="1">IFERROR(__xludf.DUMMYFUNCTION("""COMPUTED_VALUE"""),42278.6666666666)</f>
        <v>42278.666666666599</v>
      </c>
      <c r="B104" s="1">
        <f ca="1">IFERROR(__xludf.DUMMYFUNCTION("""COMPUTED_VALUE"""),1919.65)</f>
        <v>1919.65</v>
      </c>
      <c r="C104" s="1">
        <f ca="1">IFERROR(__xludf.DUMMYFUNCTION("""COMPUTED_VALUE"""),1927.21)</f>
        <v>1927.21</v>
      </c>
      <c r="D104" s="1">
        <f ca="1">IFERROR(__xludf.DUMMYFUNCTION("""COMPUTED_VALUE"""),1900.7)</f>
        <v>1900.7</v>
      </c>
      <c r="E104" s="1">
        <f ca="1">IFERROR(__xludf.DUMMYFUNCTION("""COMPUTED_VALUE"""),1923.82)</f>
        <v>1923.82</v>
      </c>
      <c r="F104" s="1">
        <f ca="1">IFERROR(__xludf.DUMMYFUNCTION("""COMPUTED_VALUE"""),676563545)</f>
        <v>676563545</v>
      </c>
    </row>
    <row r="105" spans="1:6" ht="13" x14ac:dyDescent="0.15">
      <c r="A105" s="2">
        <f ca="1">IFERROR(__xludf.DUMMYFUNCTION("""COMPUTED_VALUE"""),42279.6666666666)</f>
        <v>42279.666666666599</v>
      </c>
      <c r="B105" s="1">
        <f ca="1">IFERROR(__xludf.DUMMYFUNCTION("""COMPUTED_VALUE"""),1921.77)</f>
        <v>1921.77</v>
      </c>
      <c r="C105" s="1">
        <f ca="1">IFERROR(__xludf.DUMMYFUNCTION("""COMPUTED_VALUE"""),1951.36)</f>
        <v>1951.36</v>
      </c>
      <c r="D105" s="1">
        <f ca="1">IFERROR(__xludf.DUMMYFUNCTION("""COMPUTED_VALUE"""),1893.7)</f>
        <v>1893.7</v>
      </c>
      <c r="E105" s="1">
        <f ca="1">IFERROR(__xludf.DUMMYFUNCTION("""COMPUTED_VALUE"""),1951.36)</f>
        <v>1951.36</v>
      </c>
      <c r="F105" s="1">
        <f ca="1">IFERROR(__xludf.DUMMYFUNCTION("""COMPUTED_VALUE"""),763255552)</f>
        <v>763255552</v>
      </c>
    </row>
    <row r="106" spans="1:6" ht="13" x14ac:dyDescent="0.15">
      <c r="A106" s="2">
        <f ca="1">IFERROR(__xludf.DUMMYFUNCTION("""COMPUTED_VALUE"""),42282.6666666666)</f>
        <v>42282.666666666599</v>
      </c>
      <c r="B106" s="1">
        <f ca="1">IFERROR(__xludf.DUMMYFUNCTION("""COMPUTED_VALUE"""),1954.33)</f>
        <v>1954.33</v>
      </c>
      <c r="C106" s="1">
        <f ca="1">IFERROR(__xludf.DUMMYFUNCTION("""COMPUTED_VALUE"""),1989.17)</f>
        <v>1989.17</v>
      </c>
      <c r="D106" s="1">
        <f ca="1">IFERROR(__xludf.DUMMYFUNCTION("""COMPUTED_VALUE"""),1954.33)</f>
        <v>1954.33</v>
      </c>
      <c r="E106" s="1">
        <f ca="1">IFERROR(__xludf.DUMMYFUNCTION("""COMPUTED_VALUE"""),1987.05)</f>
        <v>1987.05</v>
      </c>
      <c r="F106" s="1">
        <f ca="1">IFERROR(__xludf.DUMMYFUNCTION("""COMPUTED_VALUE"""),725881817)</f>
        <v>725881817</v>
      </c>
    </row>
    <row r="107" spans="1:6" ht="13" x14ac:dyDescent="0.15">
      <c r="A107" s="2">
        <f ca="1">IFERROR(__xludf.DUMMYFUNCTION("""COMPUTED_VALUE"""),42283.6666666666)</f>
        <v>42283.666666666599</v>
      </c>
      <c r="B107" s="1">
        <f ca="1">IFERROR(__xludf.DUMMYFUNCTION("""COMPUTED_VALUE"""),1986.63)</f>
        <v>1986.63</v>
      </c>
      <c r="C107" s="1">
        <f ca="1">IFERROR(__xludf.DUMMYFUNCTION("""COMPUTED_VALUE"""),1991.62)</f>
        <v>1991.62</v>
      </c>
      <c r="D107" s="1">
        <f ca="1">IFERROR(__xludf.DUMMYFUNCTION("""COMPUTED_VALUE"""),1971.99)</f>
        <v>1971.99</v>
      </c>
      <c r="E107" s="1">
        <f ca="1">IFERROR(__xludf.DUMMYFUNCTION("""COMPUTED_VALUE"""),1979.92)</f>
        <v>1979.92</v>
      </c>
      <c r="F107" s="1">
        <f ca="1">IFERROR(__xludf.DUMMYFUNCTION("""COMPUTED_VALUE"""),679866164)</f>
        <v>679866164</v>
      </c>
    </row>
    <row r="108" spans="1:6" ht="13" x14ac:dyDescent="0.15">
      <c r="A108" s="2">
        <f ca="1">IFERROR(__xludf.DUMMYFUNCTION("""COMPUTED_VALUE"""),42284.6666666666)</f>
        <v>42284.666666666599</v>
      </c>
      <c r="B108" s="1">
        <f ca="1">IFERROR(__xludf.DUMMYFUNCTION("""COMPUTED_VALUE"""),1982.34)</f>
        <v>1982.34</v>
      </c>
      <c r="C108" s="1">
        <f ca="1">IFERROR(__xludf.DUMMYFUNCTION("""COMPUTED_VALUE"""),1999.31)</f>
        <v>1999.31</v>
      </c>
      <c r="D108" s="1">
        <f ca="1">IFERROR(__xludf.DUMMYFUNCTION("""COMPUTED_VALUE"""),1976.44)</f>
        <v>1976.44</v>
      </c>
      <c r="E108" s="1">
        <f ca="1">IFERROR(__xludf.DUMMYFUNCTION("""COMPUTED_VALUE"""),1995.83)</f>
        <v>1995.83</v>
      </c>
      <c r="F108" s="1">
        <f ca="1">IFERROR(__xludf.DUMMYFUNCTION("""COMPUTED_VALUE"""),735394471)</f>
        <v>735394471</v>
      </c>
    </row>
    <row r="109" spans="1:6" ht="13" x14ac:dyDescent="0.15">
      <c r="A109" s="2">
        <f ca="1">IFERROR(__xludf.DUMMYFUNCTION("""COMPUTED_VALUE"""),42285.6666666666)</f>
        <v>42285.666666666599</v>
      </c>
      <c r="B109" s="1">
        <f ca="1">IFERROR(__xludf.DUMMYFUNCTION("""COMPUTED_VALUE"""),1994.01)</f>
        <v>1994.01</v>
      </c>
      <c r="C109" s="1">
        <f ca="1">IFERROR(__xludf.DUMMYFUNCTION("""COMPUTED_VALUE"""),2016.5)</f>
        <v>2016.5</v>
      </c>
      <c r="D109" s="1">
        <f ca="1">IFERROR(__xludf.DUMMYFUNCTION("""COMPUTED_VALUE"""),1987.53)</f>
        <v>1987.53</v>
      </c>
      <c r="E109" s="1">
        <f ca="1">IFERROR(__xludf.DUMMYFUNCTION("""COMPUTED_VALUE"""),2013.43)</f>
        <v>2013.43</v>
      </c>
      <c r="F109" s="1">
        <f ca="1">IFERROR(__xludf.DUMMYFUNCTION("""COMPUTED_VALUE"""),604478359)</f>
        <v>604478359</v>
      </c>
    </row>
    <row r="110" spans="1:6" ht="13" x14ac:dyDescent="0.15">
      <c r="A110" s="2">
        <f ca="1">IFERROR(__xludf.DUMMYFUNCTION("""COMPUTED_VALUE"""),42286.6666666666)</f>
        <v>42286.666666666599</v>
      </c>
      <c r="B110" s="1">
        <f ca="1">IFERROR(__xludf.DUMMYFUNCTION("""COMPUTED_VALUE"""),2013.73)</f>
        <v>2013.73</v>
      </c>
      <c r="C110" s="1">
        <f ca="1">IFERROR(__xludf.DUMMYFUNCTION("""COMPUTED_VALUE"""),2020.13)</f>
        <v>2020.13</v>
      </c>
      <c r="D110" s="1">
        <f ca="1">IFERROR(__xludf.DUMMYFUNCTION("""COMPUTED_VALUE"""),2007.61)</f>
        <v>2007.61</v>
      </c>
      <c r="E110" s="1">
        <f ca="1">IFERROR(__xludf.DUMMYFUNCTION("""COMPUTED_VALUE"""),2014.89)</f>
        <v>2014.89</v>
      </c>
      <c r="F110" s="1">
        <f ca="1">IFERROR(__xludf.DUMMYFUNCTION("""COMPUTED_VALUE"""),623423601)</f>
        <v>623423601</v>
      </c>
    </row>
    <row r="111" spans="1:6" ht="13" x14ac:dyDescent="0.15">
      <c r="A111" s="2">
        <f ca="1">IFERROR(__xludf.DUMMYFUNCTION("""COMPUTED_VALUE"""),42289.6666666666)</f>
        <v>42289.666666666599</v>
      </c>
      <c r="B111" s="1">
        <f ca="1">IFERROR(__xludf.DUMMYFUNCTION("""COMPUTED_VALUE"""),2015.65)</f>
        <v>2015.65</v>
      </c>
      <c r="C111" s="1">
        <f ca="1">IFERROR(__xludf.DUMMYFUNCTION("""COMPUTED_VALUE"""),2018.66)</f>
        <v>2018.66</v>
      </c>
      <c r="D111" s="1">
        <f ca="1">IFERROR(__xludf.DUMMYFUNCTION("""COMPUTED_VALUE"""),2010.55)</f>
        <v>2010.55</v>
      </c>
      <c r="E111" s="1">
        <f ca="1">IFERROR(__xludf.DUMMYFUNCTION("""COMPUTED_VALUE"""),2017.46)</f>
        <v>2017.46</v>
      </c>
      <c r="F111" s="1">
        <f ca="1">IFERROR(__xludf.DUMMYFUNCTION("""COMPUTED_VALUE"""),464138958)</f>
        <v>464138958</v>
      </c>
    </row>
    <row r="112" spans="1:6" ht="13" x14ac:dyDescent="0.15">
      <c r="A112" s="2">
        <f ca="1">IFERROR(__xludf.DUMMYFUNCTION("""COMPUTED_VALUE"""),42290.6666666666)</f>
        <v>42290.666666666599</v>
      </c>
      <c r="B112" s="1">
        <f ca="1">IFERROR(__xludf.DUMMYFUNCTION("""COMPUTED_VALUE"""),2015)</f>
        <v>2015</v>
      </c>
      <c r="C112" s="1">
        <f ca="1">IFERROR(__xludf.DUMMYFUNCTION("""COMPUTED_VALUE"""),2022.34)</f>
        <v>2022.34</v>
      </c>
      <c r="D112" s="1">
        <f ca="1">IFERROR(__xludf.DUMMYFUNCTION("""COMPUTED_VALUE"""),2001.78)</f>
        <v>2001.78</v>
      </c>
      <c r="E112" s="1">
        <f ca="1">IFERROR(__xludf.DUMMYFUNCTION("""COMPUTED_VALUE"""),2003.69)</f>
        <v>2003.69</v>
      </c>
      <c r="F112" s="1">
        <f ca="1">IFERROR(__xludf.DUMMYFUNCTION("""COMPUTED_VALUE"""),567343893)</f>
        <v>567343893</v>
      </c>
    </row>
    <row r="113" spans="1:6" ht="13" x14ac:dyDescent="0.15">
      <c r="A113" s="2">
        <f ca="1">IFERROR(__xludf.DUMMYFUNCTION("""COMPUTED_VALUE"""),42291.6666666666)</f>
        <v>42291.666666666599</v>
      </c>
      <c r="B113" s="1">
        <f ca="1">IFERROR(__xludf.DUMMYFUNCTION("""COMPUTED_VALUE"""),2003.66)</f>
        <v>2003.66</v>
      </c>
      <c r="C113" s="1">
        <f ca="1">IFERROR(__xludf.DUMMYFUNCTION("""COMPUTED_VALUE"""),2009.56)</f>
        <v>2009.56</v>
      </c>
      <c r="D113" s="1">
        <f ca="1">IFERROR(__xludf.DUMMYFUNCTION("""COMPUTED_VALUE"""),1990.73)</f>
        <v>1990.73</v>
      </c>
      <c r="E113" s="1">
        <f ca="1">IFERROR(__xludf.DUMMYFUNCTION("""COMPUTED_VALUE"""),1994.24)</f>
        <v>1994.24</v>
      </c>
      <c r="F113" s="1">
        <f ca="1">IFERROR(__xludf.DUMMYFUNCTION("""COMPUTED_VALUE"""),629947986)</f>
        <v>629947986</v>
      </c>
    </row>
    <row r="114" spans="1:6" ht="13" x14ac:dyDescent="0.15">
      <c r="A114" s="2">
        <f ca="1">IFERROR(__xludf.DUMMYFUNCTION("""COMPUTED_VALUE"""),42292.6666666666)</f>
        <v>42292.666666666599</v>
      </c>
      <c r="B114" s="1">
        <f ca="1">IFERROR(__xludf.DUMMYFUNCTION("""COMPUTED_VALUE"""),1996.47)</f>
        <v>1996.47</v>
      </c>
      <c r="C114" s="1">
        <f ca="1">IFERROR(__xludf.DUMMYFUNCTION("""COMPUTED_VALUE"""),2024.15)</f>
        <v>2024.15</v>
      </c>
      <c r="D114" s="1">
        <f ca="1">IFERROR(__xludf.DUMMYFUNCTION("""COMPUTED_VALUE"""),1996.47)</f>
        <v>1996.47</v>
      </c>
      <c r="E114" s="1">
        <f ca="1">IFERROR(__xludf.DUMMYFUNCTION("""COMPUTED_VALUE"""),2023.86)</f>
        <v>2023.86</v>
      </c>
      <c r="F114" s="1">
        <f ca="1">IFERROR(__xludf.DUMMYFUNCTION("""COMPUTED_VALUE"""),671059272)</f>
        <v>671059272</v>
      </c>
    </row>
    <row r="115" spans="1:6" ht="13" x14ac:dyDescent="0.15">
      <c r="A115" s="2">
        <f ca="1">IFERROR(__xludf.DUMMYFUNCTION("""COMPUTED_VALUE"""),42293.6666666666)</f>
        <v>42293.666666666599</v>
      </c>
      <c r="B115" s="1">
        <f ca="1">IFERROR(__xludf.DUMMYFUNCTION("""COMPUTED_VALUE"""),2024.37)</f>
        <v>2024.37</v>
      </c>
      <c r="C115" s="1">
        <f ca="1">IFERROR(__xludf.DUMMYFUNCTION("""COMPUTED_VALUE"""),2033.54)</f>
        <v>2033.54</v>
      </c>
      <c r="D115" s="1">
        <f ca="1">IFERROR(__xludf.DUMMYFUNCTION("""COMPUTED_VALUE"""),2020.46)</f>
        <v>2020.46</v>
      </c>
      <c r="E115" s="1">
        <f ca="1">IFERROR(__xludf.DUMMYFUNCTION("""COMPUTED_VALUE"""),2033.11)</f>
        <v>2033.11</v>
      </c>
      <c r="F115" s="1">
        <f ca="1">IFERROR(__xludf.DUMMYFUNCTION("""COMPUTED_VALUE"""),711470641)</f>
        <v>711470641</v>
      </c>
    </row>
    <row r="116" spans="1:6" ht="13" x14ac:dyDescent="0.15">
      <c r="A116" s="2">
        <f ca="1">IFERROR(__xludf.DUMMYFUNCTION("""COMPUTED_VALUE"""),42296.6666666666)</f>
        <v>42296.666666666599</v>
      </c>
      <c r="B116" s="1">
        <f ca="1">IFERROR(__xludf.DUMMYFUNCTION("""COMPUTED_VALUE"""),2031.73)</f>
        <v>2031.73</v>
      </c>
      <c r="C116" s="1">
        <f ca="1">IFERROR(__xludf.DUMMYFUNCTION("""COMPUTED_VALUE"""),2034.45)</f>
        <v>2034.45</v>
      </c>
      <c r="D116" s="1">
        <f ca="1">IFERROR(__xludf.DUMMYFUNCTION("""COMPUTED_VALUE"""),2022.31)</f>
        <v>2022.31</v>
      </c>
      <c r="E116" s="1">
        <f ca="1">IFERROR(__xludf.DUMMYFUNCTION("""COMPUTED_VALUE"""),2033.66)</f>
        <v>2033.66</v>
      </c>
      <c r="F116" s="1">
        <f ca="1">IFERROR(__xludf.DUMMYFUNCTION("""COMPUTED_VALUE"""),600551881)</f>
        <v>600551881</v>
      </c>
    </row>
    <row r="117" spans="1:6" ht="13" x14ac:dyDescent="0.15">
      <c r="A117" s="2">
        <f ca="1">IFERROR(__xludf.DUMMYFUNCTION("""COMPUTED_VALUE"""),42297.6666666666)</f>
        <v>42297.666666666599</v>
      </c>
      <c r="B117" s="1">
        <f ca="1">IFERROR(__xludf.DUMMYFUNCTION("""COMPUTED_VALUE"""),2033.13)</f>
        <v>2033.13</v>
      </c>
      <c r="C117" s="1">
        <f ca="1">IFERROR(__xludf.DUMMYFUNCTION("""COMPUTED_VALUE"""),2039.12)</f>
        <v>2039.12</v>
      </c>
      <c r="D117" s="1">
        <f ca="1">IFERROR(__xludf.DUMMYFUNCTION("""COMPUTED_VALUE"""),2026.61)</f>
        <v>2026.61</v>
      </c>
      <c r="E117" s="1">
        <f ca="1">IFERROR(__xludf.DUMMYFUNCTION("""COMPUTED_VALUE"""),2030.77)</f>
        <v>2030.77</v>
      </c>
      <c r="F117" s="1">
        <f ca="1">IFERROR(__xludf.DUMMYFUNCTION("""COMPUTED_VALUE"""),563655848)</f>
        <v>563655848</v>
      </c>
    </row>
    <row r="118" spans="1:6" ht="13" x14ac:dyDescent="0.15">
      <c r="A118" s="2">
        <f ca="1">IFERROR(__xludf.DUMMYFUNCTION("""COMPUTED_VALUE"""),42298.6666666666)</f>
        <v>42298.666666666599</v>
      </c>
      <c r="B118" s="1">
        <f ca="1">IFERROR(__xludf.DUMMYFUNCTION("""COMPUTED_VALUE"""),2033.47)</f>
        <v>2033.47</v>
      </c>
      <c r="C118" s="1">
        <f ca="1">IFERROR(__xludf.DUMMYFUNCTION("""COMPUTED_VALUE"""),2037.97)</f>
        <v>2037.97</v>
      </c>
      <c r="D118" s="1">
        <f ca="1">IFERROR(__xludf.DUMMYFUNCTION("""COMPUTED_VALUE"""),2017.22)</f>
        <v>2017.22</v>
      </c>
      <c r="E118" s="1">
        <f ca="1">IFERROR(__xludf.DUMMYFUNCTION("""COMPUTED_VALUE"""),2018.94)</f>
        <v>2018.94</v>
      </c>
      <c r="F118" s="1">
        <f ca="1">IFERROR(__xludf.DUMMYFUNCTION("""COMPUTED_VALUE"""),610204136)</f>
        <v>610204136</v>
      </c>
    </row>
    <row r="119" spans="1:6" ht="13" x14ac:dyDescent="0.15">
      <c r="A119" s="2">
        <f ca="1">IFERROR(__xludf.DUMMYFUNCTION("""COMPUTED_VALUE"""),42299.6666666666)</f>
        <v>42299.666666666599</v>
      </c>
      <c r="B119" s="1">
        <f ca="1">IFERROR(__xludf.DUMMYFUNCTION("""COMPUTED_VALUE"""),2021.88)</f>
        <v>2021.88</v>
      </c>
      <c r="C119" s="1">
        <f ca="1">IFERROR(__xludf.DUMMYFUNCTION("""COMPUTED_VALUE"""),2055.2)</f>
        <v>2055.1999999999998</v>
      </c>
      <c r="D119" s="1">
        <f ca="1">IFERROR(__xludf.DUMMYFUNCTION("""COMPUTED_VALUE"""),2021.88)</f>
        <v>2021.88</v>
      </c>
      <c r="E119" s="1">
        <f ca="1">IFERROR(__xludf.DUMMYFUNCTION("""COMPUTED_VALUE"""),2052.51)</f>
        <v>2052.5100000000002</v>
      </c>
      <c r="F119" s="1">
        <f ca="1">IFERROR(__xludf.DUMMYFUNCTION("""COMPUTED_VALUE"""),786028633)</f>
        <v>786028633</v>
      </c>
    </row>
    <row r="120" spans="1:6" ht="13" x14ac:dyDescent="0.15">
      <c r="A120" s="2">
        <f ca="1">IFERROR(__xludf.DUMMYFUNCTION("""COMPUTED_VALUE"""),42300.6666666666)</f>
        <v>42300.666666666599</v>
      </c>
      <c r="B120" s="1">
        <f ca="1">IFERROR(__xludf.DUMMYFUNCTION("""COMPUTED_VALUE"""),2058.19)</f>
        <v>2058.19</v>
      </c>
      <c r="C120" s="1">
        <f ca="1">IFERROR(__xludf.DUMMYFUNCTION("""COMPUTED_VALUE"""),2079.74)</f>
        <v>2079.7399999999998</v>
      </c>
      <c r="D120" s="1">
        <f ca="1">IFERROR(__xludf.DUMMYFUNCTION("""COMPUTED_VALUE"""),2058.19)</f>
        <v>2058.19</v>
      </c>
      <c r="E120" s="1">
        <f ca="1">IFERROR(__xludf.DUMMYFUNCTION("""COMPUTED_VALUE"""),2075.15)</f>
        <v>2075.15</v>
      </c>
      <c r="F120" s="1">
        <f ca="1">IFERROR(__xludf.DUMMYFUNCTION("""COMPUTED_VALUE"""),745335577)</f>
        <v>745335577</v>
      </c>
    </row>
    <row r="121" spans="1:6" ht="13" x14ac:dyDescent="0.15">
      <c r="A121" s="2">
        <f ca="1">IFERROR(__xludf.DUMMYFUNCTION("""COMPUTED_VALUE"""),42303.6666666666)</f>
        <v>42303.666666666599</v>
      </c>
      <c r="B121" s="1">
        <f ca="1">IFERROR(__xludf.DUMMYFUNCTION("""COMPUTED_VALUE"""),2075.08)</f>
        <v>2075.08</v>
      </c>
      <c r="C121" s="1">
        <f ca="1">IFERROR(__xludf.DUMMYFUNCTION("""COMPUTED_VALUE"""),2075.14)</f>
        <v>2075.14</v>
      </c>
      <c r="D121" s="1">
        <f ca="1">IFERROR(__xludf.DUMMYFUNCTION("""COMPUTED_VALUE"""),2066.53)</f>
        <v>2066.5300000000002</v>
      </c>
      <c r="E121" s="1">
        <f ca="1">IFERROR(__xludf.DUMMYFUNCTION("""COMPUTED_VALUE"""),2071.18)</f>
        <v>2071.1799999999998</v>
      </c>
      <c r="F121" s="1">
        <f ca="1">IFERROR(__xludf.DUMMYFUNCTION("""COMPUTED_VALUE"""),602332322)</f>
        <v>602332322</v>
      </c>
    </row>
    <row r="122" spans="1:6" ht="13" x14ac:dyDescent="0.15">
      <c r="A122" s="2">
        <f ca="1">IFERROR(__xludf.DUMMYFUNCTION("""COMPUTED_VALUE"""),42304.6666666666)</f>
        <v>42304.666666666599</v>
      </c>
      <c r="B122" s="1">
        <f ca="1">IFERROR(__xludf.DUMMYFUNCTION("""COMPUTED_VALUE"""),2068.75)</f>
        <v>2068.75</v>
      </c>
      <c r="C122" s="1">
        <f ca="1">IFERROR(__xludf.DUMMYFUNCTION("""COMPUTED_VALUE"""),2070.37)</f>
        <v>2070.37</v>
      </c>
      <c r="D122" s="1">
        <f ca="1">IFERROR(__xludf.DUMMYFUNCTION("""COMPUTED_VALUE"""),2058.84)</f>
        <v>2058.84</v>
      </c>
      <c r="E122" s="1">
        <f ca="1">IFERROR(__xludf.DUMMYFUNCTION("""COMPUTED_VALUE"""),2065.89)</f>
        <v>2065.89</v>
      </c>
      <c r="F122" s="1">
        <f ca="1">IFERROR(__xludf.DUMMYFUNCTION("""COMPUTED_VALUE"""),650112593)</f>
        <v>650112593</v>
      </c>
    </row>
    <row r="123" spans="1:6" ht="13" x14ac:dyDescent="0.15">
      <c r="A123" s="2">
        <f ca="1">IFERROR(__xludf.DUMMYFUNCTION("""COMPUTED_VALUE"""),42305.6666666666)</f>
        <v>42305.666666666599</v>
      </c>
      <c r="B123" s="1">
        <f ca="1">IFERROR(__xludf.DUMMYFUNCTION("""COMPUTED_VALUE"""),2066.48)</f>
        <v>2066.48</v>
      </c>
      <c r="C123" s="1">
        <f ca="1">IFERROR(__xludf.DUMMYFUNCTION("""COMPUTED_VALUE"""),2090.35)</f>
        <v>2090.35</v>
      </c>
      <c r="D123" s="1">
        <f ca="1">IFERROR(__xludf.DUMMYFUNCTION("""COMPUTED_VALUE"""),2063.11)</f>
        <v>2063.11</v>
      </c>
      <c r="E123" s="1">
        <f ca="1">IFERROR(__xludf.DUMMYFUNCTION("""COMPUTED_VALUE"""),2090.35)</f>
        <v>2090.35</v>
      </c>
      <c r="F123" s="1">
        <f ca="1">IFERROR(__xludf.DUMMYFUNCTION("""COMPUTED_VALUE"""),660968318)</f>
        <v>660968318</v>
      </c>
    </row>
    <row r="124" spans="1:6" ht="13" x14ac:dyDescent="0.15">
      <c r="A124" s="2">
        <f ca="1">IFERROR(__xludf.DUMMYFUNCTION("""COMPUTED_VALUE"""),42306.6666666666)</f>
        <v>42306.666666666599</v>
      </c>
      <c r="B124" s="1">
        <f ca="1">IFERROR(__xludf.DUMMYFUNCTION("""COMPUTED_VALUE"""),2088.35)</f>
        <v>2088.35</v>
      </c>
      <c r="C124" s="1">
        <f ca="1">IFERROR(__xludf.DUMMYFUNCTION("""COMPUTED_VALUE"""),2092.52)</f>
        <v>2092.52</v>
      </c>
      <c r="D124" s="1">
        <f ca="1">IFERROR(__xludf.DUMMYFUNCTION("""COMPUTED_VALUE"""),2082.63)</f>
        <v>2082.63</v>
      </c>
      <c r="E124" s="1">
        <f ca="1">IFERROR(__xludf.DUMMYFUNCTION("""COMPUTED_VALUE"""),2089.41)</f>
        <v>2089.41</v>
      </c>
      <c r="F124" s="1">
        <f ca="1">IFERROR(__xludf.DUMMYFUNCTION("""COMPUTED_VALUE"""),549091191)</f>
        <v>549091191</v>
      </c>
    </row>
    <row r="125" spans="1:6" ht="13" x14ac:dyDescent="0.15">
      <c r="A125" s="2">
        <f ca="1">IFERROR(__xludf.DUMMYFUNCTION("""COMPUTED_VALUE"""),42307.6666666666)</f>
        <v>42307.666666666599</v>
      </c>
      <c r="B125" s="1">
        <f ca="1">IFERROR(__xludf.DUMMYFUNCTION("""COMPUTED_VALUE"""),2090)</f>
        <v>2090</v>
      </c>
      <c r="C125" s="1">
        <f ca="1">IFERROR(__xludf.DUMMYFUNCTION("""COMPUTED_VALUE"""),2094.32)</f>
        <v>2094.3200000000002</v>
      </c>
      <c r="D125" s="1">
        <f ca="1">IFERROR(__xludf.DUMMYFUNCTION("""COMPUTED_VALUE"""),2079.34)</f>
        <v>2079.34</v>
      </c>
      <c r="E125" s="1">
        <f ca="1">IFERROR(__xludf.DUMMYFUNCTION("""COMPUTED_VALUE"""),2079.36)</f>
        <v>2079.36</v>
      </c>
      <c r="F125" s="1">
        <f ca="1">IFERROR(__xludf.DUMMYFUNCTION("""COMPUTED_VALUE"""),789097525)</f>
        <v>789097525</v>
      </c>
    </row>
    <row r="126" spans="1:6" ht="13" x14ac:dyDescent="0.15">
      <c r="A126" s="2">
        <f ca="1">IFERROR(__xludf.DUMMYFUNCTION("""COMPUTED_VALUE"""),42310.6666666666)</f>
        <v>42310.666666666599</v>
      </c>
      <c r="B126" s="1">
        <f ca="1">IFERROR(__xludf.DUMMYFUNCTION("""COMPUTED_VALUE"""),2080.76)</f>
        <v>2080.7600000000002</v>
      </c>
      <c r="C126" s="1">
        <f ca="1">IFERROR(__xludf.DUMMYFUNCTION("""COMPUTED_VALUE"""),2106.2)</f>
        <v>2106.1999999999998</v>
      </c>
      <c r="D126" s="1">
        <f ca="1">IFERROR(__xludf.DUMMYFUNCTION("""COMPUTED_VALUE"""),2080.76)</f>
        <v>2080.7600000000002</v>
      </c>
      <c r="E126" s="1">
        <f ca="1">IFERROR(__xludf.DUMMYFUNCTION("""COMPUTED_VALUE"""),2104.05)</f>
        <v>2104.0500000000002</v>
      </c>
      <c r="F126" s="1">
        <f ca="1">IFERROR(__xludf.DUMMYFUNCTION("""COMPUTED_VALUE"""),579601950)</f>
        <v>579601950</v>
      </c>
    </row>
    <row r="127" spans="1:6" ht="13" x14ac:dyDescent="0.15">
      <c r="A127" s="2">
        <f ca="1">IFERROR(__xludf.DUMMYFUNCTION("""COMPUTED_VALUE"""),42311.6666666666)</f>
        <v>42311.666666666599</v>
      </c>
      <c r="B127" s="1">
        <f ca="1">IFERROR(__xludf.DUMMYFUNCTION("""COMPUTED_VALUE"""),2102.63)</f>
        <v>2102.63</v>
      </c>
      <c r="C127" s="1">
        <f ca="1">IFERROR(__xludf.DUMMYFUNCTION("""COMPUTED_VALUE"""),2116.48)</f>
        <v>2116.48</v>
      </c>
      <c r="D127" s="1">
        <f ca="1">IFERROR(__xludf.DUMMYFUNCTION("""COMPUTED_VALUE"""),2097.51)</f>
        <v>2097.5100000000002</v>
      </c>
      <c r="E127" s="1">
        <f ca="1">IFERROR(__xludf.DUMMYFUNCTION("""COMPUTED_VALUE"""),2109.79)</f>
        <v>2109.79</v>
      </c>
      <c r="F127" s="1">
        <f ca="1">IFERROR(__xludf.DUMMYFUNCTION("""COMPUTED_VALUE"""),588205970)</f>
        <v>588205970</v>
      </c>
    </row>
    <row r="128" spans="1:6" ht="13" x14ac:dyDescent="0.15">
      <c r="A128" s="2">
        <f ca="1">IFERROR(__xludf.DUMMYFUNCTION("""COMPUTED_VALUE"""),42312.6666666666)</f>
        <v>42312.666666666599</v>
      </c>
      <c r="B128" s="1">
        <f ca="1">IFERROR(__xludf.DUMMYFUNCTION("""COMPUTED_VALUE"""),2110.6)</f>
        <v>2110.6</v>
      </c>
      <c r="C128" s="1">
        <f ca="1">IFERROR(__xludf.DUMMYFUNCTION("""COMPUTED_VALUE"""),2114.59)</f>
        <v>2114.59</v>
      </c>
      <c r="D128" s="1">
        <f ca="1">IFERROR(__xludf.DUMMYFUNCTION("""COMPUTED_VALUE"""),2096.98)</f>
        <v>2096.98</v>
      </c>
      <c r="E128" s="1">
        <f ca="1">IFERROR(__xludf.DUMMYFUNCTION("""COMPUTED_VALUE"""),2102.31)</f>
        <v>2102.31</v>
      </c>
      <c r="F128" s="1">
        <f ca="1">IFERROR(__xludf.DUMMYFUNCTION("""COMPUTED_VALUE"""),615424681)</f>
        <v>615424681</v>
      </c>
    </row>
    <row r="129" spans="1:6" ht="13" x14ac:dyDescent="0.15">
      <c r="A129" s="2">
        <f ca="1">IFERROR(__xludf.DUMMYFUNCTION("""COMPUTED_VALUE"""),42313.6666666666)</f>
        <v>42313.666666666599</v>
      </c>
      <c r="B129" s="1">
        <f ca="1">IFERROR(__xludf.DUMMYFUNCTION("""COMPUTED_VALUE"""),2101.68)</f>
        <v>2101.6799999999998</v>
      </c>
      <c r="C129" s="1">
        <f ca="1">IFERROR(__xludf.DUMMYFUNCTION("""COMPUTED_VALUE"""),2108.78)</f>
        <v>2108.7800000000002</v>
      </c>
      <c r="D129" s="1">
        <f ca="1">IFERROR(__xludf.DUMMYFUNCTION("""COMPUTED_VALUE"""),2090.41)</f>
        <v>2090.41</v>
      </c>
      <c r="E129" s="1">
        <f ca="1">IFERROR(__xludf.DUMMYFUNCTION("""COMPUTED_VALUE"""),2099.93)</f>
        <v>2099.9299999999998</v>
      </c>
      <c r="F129" s="1">
        <f ca="1">IFERROR(__xludf.DUMMYFUNCTION("""COMPUTED_VALUE"""),589737116)</f>
        <v>589737116</v>
      </c>
    </row>
    <row r="130" spans="1:6" ht="13" x14ac:dyDescent="0.15">
      <c r="A130" s="2">
        <f ca="1">IFERROR(__xludf.DUMMYFUNCTION("""COMPUTED_VALUE"""),42314.6666666666)</f>
        <v>42314.666666666599</v>
      </c>
      <c r="B130" s="1">
        <f ca="1">IFERROR(__xludf.DUMMYFUNCTION("""COMPUTED_VALUE"""),2098.6)</f>
        <v>2098.6</v>
      </c>
      <c r="C130" s="1">
        <f ca="1">IFERROR(__xludf.DUMMYFUNCTION("""COMPUTED_VALUE"""),2101.91)</f>
        <v>2101.91</v>
      </c>
      <c r="D130" s="1">
        <f ca="1">IFERROR(__xludf.DUMMYFUNCTION("""COMPUTED_VALUE"""),2083.74)</f>
        <v>2083.7399999999998</v>
      </c>
      <c r="E130" s="1">
        <f ca="1">IFERROR(__xludf.DUMMYFUNCTION("""COMPUTED_VALUE"""),2099.2)</f>
        <v>2099.1999999999998</v>
      </c>
      <c r="F130" s="1">
        <f ca="1">IFERROR(__xludf.DUMMYFUNCTION("""COMPUTED_VALUE"""),661105431)</f>
        <v>661105431</v>
      </c>
    </row>
    <row r="131" spans="1:6" ht="13" x14ac:dyDescent="0.15">
      <c r="A131" s="2">
        <f ca="1">IFERROR(__xludf.DUMMYFUNCTION("""COMPUTED_VALUE"""),42317.6666666666)</f>
        <v>42317.666666666599</v>
      </c>
      <c r="B131" s="1">
        <f ca="1">IFERROR(__xludf.DUMMYFUNCTION("""COMPUTED_VALUE"""),2096.56)</f>
        <v>2096.56</v>
      </c>
      <c r="C131" s="1">
        <f ca="1">IFERROR(__xludf.DUMMYFUNCTION("""COMPUTED_VALUE"""),2096.56)</f>
        <v>2096.56</v>
      </c>
      <c r="D131" s="1">
        <f ca="1">IFERROR(__xludf.DUMMYFUNCTION("""COMPUTED_VALUE"""),2068.24)</f>
        <v>2068.2399999999998</v>
      </c>
      <c r="E131" s="1">
        <f ca="1">IFERROR(__xludf.DUMMYFUNCTION("""COMPUTED_VALUE"""),2078.58)</f>
        <v>2078.58</v>
      </c>
      <c r="F131" s="1">
        <f ca="1">IFERROR(__xludf.DUMMYFUNCTION("""COMPUTED_VALUE"""),664847995)</f>
        <v>664847995</v>
      </c>
    </row>
    <row r="132" spans="1:6" ht="13" x14ac:dyDescent="0.15">
      <c r="A132" s="2">
        <f ca="1">IFERROR(__xludf.DUMMYFUNCTION("""COMPUTED_VALUE"""),42318.6666666666)</f>
        <v>42318.666666666599</v>
      </c>
      <c r="B132" s="1">
        <f ca="1">IFERROR(__xludf.DUMMYFUNCTION("""COMPUTED_VALUE"""),2077.19)</f>
        <v>2077.19</v>
      </c>
      <c r="C132" s="1">
        <f ca="1">IFERROR(__xludf.DUMMYFUNCTION("""COMPUTED_VALUE"""),2083.67)</f>
        <v>2083.67</v>
      </c>
      <c r="D132" s="1">
        <f ca="1">IFERROR(__xludf.DUMMYFUNCTION("""COMPUTED_VALUE"""),2069.91)</f>
        <v>2069.91</v>
      </c>
      <c r="E132" s="1">
        <f ca="1">IFERROR(__xludf.DUMMYFUNCTION("""COMPUTED_VALUE"""),2081.72)</f>
        <v>2081.7199999999998</v>
      </c>
      <c r="F132" s="1">
        <f ca="1">IFERROR(__xludf.DUMMYFUNCTION("""COMPUTED_VALUE"""),564878625)</f>
        <v>564878625</v>
      </c>
    </row>
    <row r="133" spans="1:6" ht="13" x14ac:dyDescent="0.15">
      <c r="A133" s="2">
        <f ca="1">IFERROR(__xludf.DUMMYFUNCTION("""COMPUTED_VALUE"""),42319.6666666666)</f>
        <v>42319.666666666599</v>
      </c>
      <c r="B133" s="1">
        <f ca="1">IFERROR(__xludf.DUMMYFUNCTION("""COMPUTED_VALUE"""),2083.41)</f>
        <v>2083.41</v>
      </c>
      <c r="C133" s="1">
        <f ca="1">IFERROR(__xludf.DUMMYFUNCTION("""COMPUTED_VALUE"""),2086.94)</f>
        <v>2086.94</v>
      </c>
      <c r="D133" s="1">
        <f ca="1">IFERROR(__xludf.DUMMYFUNCTION("""COMPUTED_VALUE"""),2074.85)</f>
        <v>2074.85</v>
      </c>
      <c r="E133" s="1">
        <f ca="1">IFERROR(__xludf.DUMMYFUNCTION("""COMPUTED_VALUE"""),2075)</f>
        <v>2075</v>
      </c>
      <c r="F133" s="1">
        <f ca="1">IFERROR(__xludf.DUMMYFUNCTION("""COMPUTED_VALUE"""),511666901)</f>
        <v>511666901</v>
      </c>
    </row>
    <row r="134" spans="1:6" ht="13" x14ac:dyDescent="0.15">
      <c r="A134" s="2">
        <f ca="1">IFERROR(__xludf.DUMMYFUNCTION("""COMPUTED_VALUE"""),42320.6666666666)</f>
        <v>42320.666666666599</v>
      </c>
      <c r="B134" s="1">
        <f ca="1">IFERROR(__xludf.DUMMYFUNCTION("""COMPUTED_VALUE"""),2072.29)</f>
        <v>2072.29</v>
      </c>
      <c r="C134" s="1">
        <f ca="1">IFERROR(__xludf.DUMMYFUNCTION("""COMPUTED_VALUE"""),2072.29)</f>
        <v>2072.29</v>
      </c>
      <c r="D134" s="1">
        <f ca="1">IFERROR(__xludf.DUMMYFUNCTION("""COMPUTED_VALUE"""),2045.66)</f>
        <v>2045.66</v>
      </c>
      <c r="E134" s="1">
        <f ca="1">IFERROR(__xludf.DUMMYFUNCTION("""COMPUTED_VALUE"""),2045.97)</f>
        <v>2045.97</v>
      </c>
      <c r="F134" s="1">
        <f ca="1">IFERROR(__xludf.DUMMYFUNCTION("""COMPUTED_VALUE"""),573865618)</f>
        <v>573865618</v>
      </c>
    </row>
    <row r="135" spans="1:6" ht="13" x14ac:dyDescent="0.15">
      <c r="A135" s="2">
        <f ca="1">IFERROR(__xludf.DUMMYFUNCTION("""COMPUTED_VALUE"""),42321.6666666666)</f>
        <v>42321.666666666599</v>
      </c>
      <c r="B135" s="1">
        <f ca="1">IFERROR(__xludf.DUMMYFUNCTION("""COMPUTED_VALUE"""),2044.64)</f>
        <v>2044.64</v>
      </c>
      <c r="C135" s="1">
        <f ca="1">IFERROR(__xludf.DUMMYFUNCTION("""COMPUTED_VALUE"""),2044.64)</f>
        <v>2044.64</v>
      </c>
      <c r="D135" s="1">
        <f ca="1">IFERROR(__xludf.DUMMYFUNCTION("""COMPUTED_VALUE"""),2022.02)</f>
        <v>2022.02</v>
      </c>
      <c r="E135" s="1">
        <f ca="1">IFERROR(__xludf.DUMMYFUNCTION("""COMPUTED_VALUE"""),2023.04)</f>
        <v>2023.04</v>
      </c>
      <c r="F135" s="1">
        <f ca="1">IFERROR(__xludf.DUMMYFUNCTION("""COMPUTED_VALUE"""),652851199)</f>
        <v>652851199</v>
      </c>
    </row>
    <row r="136" spans="1:6" ht="13" x14ac:dyDescent="0.15">
      <c r="A136" s="2">
        <f ca="1">IFERROR(__xludf.DUMMYFUNCTION("""COMPUTED_VALUE"""),42324.6666666666)</f>
        <v>42324.666666666599</v>
      </c>
      <c r="B136" s="1">
        <f ca="1">IFERROR(__xludf.DUMMYFUNCTION("""COMPUTED_VALUE"""),2022.08)</f>
        <v>2022.08</v>
      </c>
      <c r="C136" s="1">
        <f ca="1">IFERROR(__xludf.DUMMYFUNCTION("""COMPUTED_VALUE"""),2053.22)</f>
        <v>2053.2199999999998</v>
      </c>
      <c r="D136" s="1">
        <f ca="1">IFERROR(__xludf.DUMMYFUNCTION("""COMPUTED_VALUE"""),2019.39)</f>
        <v>2019.39</v>
      </c>
      <c r="E136" s="1">
        <f ca="1">IFERROR(__xludf.DUMMYFUNCTION("""COMPUTED_VALUE"""),2053.19)</f>
        <v>2053.19</v>
      </c>
      <c r="F136" s="1">
        <f ca="1">IFERROR(__xludf.DUMMYFUNCTION("""COMPUTED_VALUE"""),607470471)</f>
        <v>607470471</v>
      </c>
    </row>
    <row r="137" spans="1:6" ht="13" x14ac:dyDescent="0.15">
      <c r="A137" s="2">
        <f ca="1">IFERROR(__xludf.DUMMYFUNCTION("""COMPUTED_VALUE"""),42325.6666666666)</f>
        <v>42325.666666666599</v>
      </c>
      <c r="B137" s="1">
        <f ca="1">IFERROR(__xludf.DUMMYFUNCTION("""COMPUTED_VALUE"""),2053.67)</f>
        <v>2053.67</v>
      </c>
      <c r="C137" s="1">
        <f ca="1">IFERROR(__xludf.DUMMYFUNCTION("""COMPUTED_VALUE"""),2066.69)</f>
        <v>2066.69</v>
      </c>
      <c r="D137" s="1">
        <f ca="1">IFERROR(__xludf.DUMMYFUNCTION("""COMPUTED_VALUE"""),2045.9)</f>
        <v>2045.9</v>
      </c>
      <c r="E137" s="1">
        <f ca="1">IFERROR(__xludf.DUMMYFUNCTION("""COMPUTED_VALUE"""),2050.44)</f>
        <v>2050.44</v>
      </c>
      <c r="F137" s="1">
        <f ca="1">IFERROR(__xludf.DUMMYFUNCTION("""COMPUTED_VALUE"""),677184030)</f>
        <v>677184030</v>
      </c>
    </row>
    <row r="138" spans="1:6" ht="13" x14ac:dyDescent="0.15">
      <c r="A138" s="2">
        <f ca="1">IFERROR(__xludf.DUMMYFUNCTION("""COMPUTED_VALUE"""),42326.6666666666)</f>
        <v>42326.666666666599</v>
      </c>
      <c r="B138" s="1">
        <f ca="1">IFERROR(__xludf.DUMMYFUNCTION("""COMPUTED_VALUE"""),2051.99)</f>
        <v>2051.9899999999998</v>
      </c>
      <c r="C138" s="1">
        <f ca="1">IFERROR(__xludf.DUMMYFUNCTION("""COMPUTED_VALUE"""),2085.31)</f>
        <v>2085.31</v>
      </c>
      <c r="D138" s="1">
        <f ca="1">IFERROR(__xludf.DUMMYFUNCTION("""COMPUTED_VALUE"""),2051.99)</f>
        <v>2051.9899999999998</v>
      </c>
      <c r="E138" s="1">
        <f ca="1">IFERROR(__xludf.DUMMYFUNCTION("""COMPUTED_VALUE"""),2083.58)</f>
        <v>2083.58</v>
      </c>
      <c r="F138" s="1">
        <f ca="1">IFERROR(__xludf.DUMMYFUNCTION("""COMPUTED_VALUE"""),608652201)</f>
        <v>608652201</v>
      </c>
    </row>
    <row r="139" spans="1:6" ht="13" x14ac:dyDescent="0.15">
      <c r="A139" s="2">
        <f ca="1">IFERROR(__xludf.DUMMYFUNCTION("""COMPUTED_VALUE"""),42327.6666666666)</f>
        <v>42327.666666666599</v>
      </c>
      <c r="B139" s="1">
        <f ca="1">IFERROR(__xludf.DUMMYFUNCTION("""COMPUTED_VALUE"""),2083.7)</f>
        <v>2083.6999999999998</v>
      </c>
      <c r="C139" s="1">
        <f ca="1">IFERROR(__xludf.DUMMYFUNCTION("""COMPUTED_VALUE"""),2086.74)</f>
        <v>2086.7399999999998</v>
      </c>
      <c r="D139" s="1">
        <f ca="1">IFERROR(__xludf.DUMMYFUNCTION("""COMPUTED_VALUE"""),2078.76)</f>
        <v>2078.7600000000002</v>
      </c>
      <c r="E139" s="1">
        <f ca="1">IFERROR(__xludf.DUMMYFUNCTION("""COMPUTED_VALUE"""),2081.24)</f>
        <v>2081.2399999999998</v>
      </c>
      <c r="F139" s="1">
        <f ca="1">IFERROR(__xludf.DUMMYFUNCTION("""COMPUTED_VALUE"""),536851932)</f>
        <v>536851932</v>
      </c>
    </row>
    <row r="140" spans="1:6" ht="13" x14ac:dyDescent="0.15">
      <c r="A140" s="2">
        <f ca="1">IFERROR(__xludf.DUMMYFUNCTION("""COMPUTED_VALUE"""),42328.6666666666)</f>
        <v>42328.666666666599</v>
      </c>
      <c r="B140" s="1">
        <f ca="1">IFERROR(__xludf.DUMMYFUNCTION("""COMPUTED_VALUE"""),2082.82)</f>
        <v>2082.8200000000002</v>
      </c>
      <c r="C140" s="1">
        <f ca="1">IFERROR(__xludf.DUMMYFUNCTION("""COMPUTED_VALUE"""),2097.06)</f>
        <v>2097.06</v>
      </c>
      <c r="D140" s="1">
        <f ca="1">IFERROR(__xludf.DUMMYFUNCTION("""COMPUTED_VALUE"""),2082.82)</f>
        <v>2082.8200000000002</v>
      </c>
      <c r="E140" s="1">
        <f ca="1">IFERROR(__xludf.DUMMYFUNCTION("""COMPUTED_VALUE"""),2089.17)</f>
        <v>2089.17</v>
      </c>
      <c r="F140" s="1">
        <f ca="1">IFERROR(__xludf.DUMMYFUNCTION("""COMPUTED_VALUE"""),689172913)</f>
        <v>689172913</v>
      </c>
    </row>
    <row r="141" spans="1:6" ht="13" x14ac:dyDescent="0.15">
      <c r="A141" s="2">
        <f ca="1">IFERROR(__xludf.DUMMYFUNCTION("""COMPUTED_VALUE"""),42331.6666666666)</f>
        <v>42331.666666666599</v>
      </c>
      <c r="B141" s="1">
        <f ca="1">IFERROR(__xludf.DUMMYFUNCTION("""COMPUTED_VALUE"""),2089.41)</f>
        <v>2089.41</v>
      </c>
      <c r="C141" s="1">
        <f ca="1">IFERROR(__xludf.DUMMYFUNCTION("""COMPUTED_VALUE"""),2095.61)</f>
        <v>2095.61</v>
      </c>
      <c r="D141" s="1">
        <f ca="1">IFERROR(__xludf.DUMMYFUNCTION("""COMPUTED_VALUE"""),2081.39)</f>
        <v>2081.39</v>
      </c>
      <c r="E141" s="1">
        <f ca="1">IFERROR(__xludf.DUMMYFUNCTION("""COMPUTED_VALUE"""),2086.59)</f>
        <v>2086.59</v>
      </c>
      <c r="F141" s="1">
        <f ca="1">IFERROR(__xludf.DUMMYFUNCTION("""COMPUTED_VALUE"""),571414251)</f>
        <v>571414251</v>
      </c>
    </row>
    <row r="142" spans="1:6" ht="13" x14ac:dyDescent="0.15">
      <c r="A142" s="2">
        <f ca="1">IFERROR(__xludf.DUMMYFUNCTION("""COMPUTED_VALUE"""),42332.6666666666)</f>
        <v>42332.666666666599</v>
      </c>
      <c r="B142" s="1">
        <f ca="1">IFERROR(__xludf.DUMMYFUNCTION("""COMPUTED_VALUE"""),2084.42)</f>
        <v>2084.42</v>
      </c>
      <c r="C142" s="1">
        <f ca="1">IFERROR(__xludf.DUMMYFUNCTION("""COMPUTED_VALUE"""),2094.12)</f>
        <v>2094.12</v>
      </c>
      <c r="D142" s="1">
        <f ca="1">IFERROR(__xludf.DUMMYFUNCTION("""COMPUTED_VALUE"""),2070.29)</f>
        <v>2070.29</v>
      </c>
      <c r="E142" s="1">
        <f ca="1">IFERROR(__xludf.DUMMYFUNCTION("""COMPUTED_VALUE"""),2089.14)</f>
        <v>2089.14</v>
      </c>
      <c r="F142" s="1">
        <f ca="1">IFERROR(__xludf.DUMMYFUNCTION("""COMPUTED_VALUE"""),607006689)</f>
        <v>607006689</v>
      </c>
    </row>
    <row r="143" spans="1:6" ht="13" x14ac:dyDescent="0.15">
      <c r="A143" s="2">
        <f ca="1">IFERROR(__xludf.DUMMYFUNCTION("""COMPUTED_VALUE"""),42333.6666666666)</f>
        <v>42333.666666666599</v>
      </c>
      <c r="B143" s="1">
        <f ca="1">IFERROR(__xludf.DUMMYFUNCTION("""COMPUTED_VALUE"""),2089.3)</f>
        <v>2089.3000000000002</v>
      </c>
      <c r="C143" s="1">
        <f ca="1">IFERROR(__xludf.DUMMYFUNCTION("""COMPUTED_VALUE"""),2093)</f>
        <v>2093</v>
      </c>
      <c r="D143" s="1">
        <f ca="1">IFERROR(__xludf.DUMMYFUNCTION("""COMPUTED_VALUE"""),2086.3)</f>
        <v>2086.3000000000002</v>
      </c>
      <c r="E143" s="1">
        <f ca="1">IFERROR(__xludf.DUMMYFUNCTION("""COMPUTED_VALUE"""),2088.87)</f>
        <v>2088.87</v>
      </c>
      <c r="F143" s="1">
        <f ca="1">IFERROR(__xludf.DUMMYFUNCTION("""COMPUTED_VALUE"""),440227053)</f>
        <v>440227053</v>
      </c>
    </row>
    <row r="144" spans="1:6" ht="13" x14ac:dyDescent="0.15">
      <c r="A144" s="2">
        <f ca="1">IFERROR(__xludf.DUMMYFUNCTION("""COMPUTED_VALUE"""),42335.6666666666)</f>
        <v>42335.666666666599</v>
      </c>
      <c r="B144" s="1">
        <f ca="1">IFERROR(__xludf.DUMMYFUNCTION("""COMPUTED_VALUE"""),2088.82)</f>
        <v>2088.8200000000002</v>
      </c>
      <c r="C144" s="1">
        <f ca="1">IFERROR(__xludf.DUMMYFUNCTION("""COMPUTED_VALUE"""),2093.29)</f>
        <v>2093.29</v>
      </c>
      <c r="D144" s="1">
        <f ca="1">IFERROR(__xludf.DUMMYFUNCTION("""COMPUTED_VALUE"""),2084.13)</f>
        <v>2084.13</v>
      </c>
      <c r="E144" s="1">
        <f ca="1">IFERROR(__xludf.DUMMYFUNCTION("""COMPUTED_VALUE"""),2090.11)</f>
        <v>2090.11</v>
      </c>
      <c r="F144" s="1">
        <f ca="1">IFERROR(__xludf.DUMMYFUNCTION("""COMPUTED_VALUE"""),240297214)</f>
        <v>240297214</v>
      </c>
    </row>
    <row r="145" spans="1:6" ht="13" x14ac:dyDescent="0.15">
      <c r="A145" s="2">
        <f ca="1">IFERROR(__xludf.DUMMYFUNCTION("""COMPUTED_VALUE"""),42338.6666666666)</f>
        <v>42338.666666666599</v>
      </c>
      <c r="B145" s="1">
        <f ca="1">IFERROR(__xludf.DUMMYFUNCTION("""COMPUTED_VALUE"""),2090.95)</f>
        <v>2090.9499999999998</v>
      </c>
      <c r="C145" s="1">
        <f ca="1">IFERROR(__xludf.DUMMYFUNCTION("""COMPUTED_VALUE"""),2093.81)</f>
        <v>2093.81</v>
      </c>
      <c r="D145" s="1">
        <f ca="1">IFERROR(__xludf.DUMMYFUNCTION("""COMPUTED_VALUE"""),2080.41)</f>
        <v>2080.41</v>
      </c>
      <c r="E145" s="1">
        <f ca="1">IFERROR(__xludf.DUMMYFUNCTION("""COMPUTED_VALUE"""),2080.41)</f>
        <v>2080.41</v>
      </c>
      <c r="F145" s="1">
        <f ca="1">IFERROR(__xludf.DUMMYFUNCTION("""COMPUTED_VALUE"""),818038598)</f>
        <v>818038598</v>
      </c>
    </row>
    <row r="146" spans="1:6" ht="13" x14ac:dyDescent="0.15">
      <c r="A146" s="2">
        <f ca="1">IFERROR(__xludf.DUMMYFUNCTION("""COMPUTED_VALUE"""),42339.6666666666)</f>
        <v>42339.666666666599</v>
      </c>
      <c r="B146" s="1">
        <f ca="1">IFERROR(__xludf.DUMMYFUNCTION("""COMPUTED_VALUE"""),2082.93)</f>
        <v>2082.9299999999998</v>
      </c>
      <c r="C146" s="1">
        <f ca="1">IFERROR(__xludf.DUMMYFUNCTION("""COMPUTED_VALUE"""),2103.37)</f>
        <v>2103.37</v>
      </c>
      <c r="D146" s="1">
        <f ca="1">IFERROR(__xludf.DUMMYFUNCTION("""COMPUTED_VALUE"""),2082.93)</f>
        <v>2082.9299999999998</v>
      </c>
      <c r="E146" s="1">
        <f ca="1">IFERROR(__xludf.DUMMYFUNCTION("""COMPUTED_VALUE"""),2102.63)</f>
        <v>2102.63</v>
      </c>
      <c r="F146" s="1">
        <f ca="1">IFERROR(__xludf.DUMMYFUNCTION("""COMPUTED_VALUE"""),591053709)</f>
        <v>591053709</v>
      </c>
    </row>
    <row r="147" spans="1:6" ht="13" x14ac:dyDescent="0.15">
      <c r="A147" s="2">
        <f ca="1">IFERROR(__xludf.DUMMYFUNCTION("""COMPUTED_VALUE"""),42340.6666666666)</f>
        <v>42340.666666666599</v>
      </c>
      <c r="B147" s="1">
        <f ca="1">IFERROR(__xludf.DUMMYFUNCTION("""COMPUTED_VALUE"""),2101.71)</f>
        <v>2101.71</v>
      </c>
      <c r="C147" s="1">
        <f ca="1">IFERROR(__xludf.DUMMYFUNCTION("""COMPUTED_VALUE"""),2104.27)</f>
        <v>2104.27</v>
      </c>
      <c r="D147" s="1">
        <f ca="1">IFERROR(__xludf.DUMMYFUNCTION("""COMPUTED_VALUE"""),2077.11)</f>
        <v>2077.11</v>
      </c>
      <c r="E147" s="1">
        <f ca="1">IFERROR(__xludf.DUMMYFUNCTION("""COMPUTED_VALUE"""),2079.51)</f>
        <v>2079.5100000000002</v>
      </c>
      <c r="F147" s="1">
        <f ca="1">IFERROR(__xludf.DUMMYFUNCTION("""COMPUTED_VALUE"""),615433393)</f>
        <v>615433393</v>
      </c>
    </row>
    <row r="148" spans="1:6" ht="13" x14ac:dyDescent="0.15">
      <c r="A148" s="2">
        <f ca="1">IFERROR(__xludf.DUMMYFUNCTION("""COMPUTED_VALUE"""),42341.6666666666)</f>
        <v>42341.666666666599</v>
      </c>
      <c r="B148" s="1">
        <f ca="1">IFERROR(__xludf.DUMMYFUNCTION("""COMPUTED_VALUE"""),2080.71)</f>
        <v>2080.71</v>
      </c>
      <c r="C148" s="1">
        <f ca="1">IFERROR(__xludf.DUMMYFUNCTION("""COMPUTED_VALUE"""),2085)</f>
        <v>2085</v>
      </c>
      <c r="D148" s="1">
        <f ca="1">IFERROR(__xludf.DUMMYFUNCTION("""COMPUTED_VALUE"""),2042.35)</f>
        <v>2042.35</v>
      </c>
      <c r="E148" s="1">
        <f ca="1">IFERROR(__xludf.DUMMYFUNCTION("""COMPUTED_VALUE"""),2049.62)</f>
        <v>2049.62</v>
      </c>
      <c r="F148" s="1">
        <f ca="1">IFERROR(__xludf.DUMMYFUNCTION("""COMPUTED_VALUE"""),749534853)</f>
        <v>749534853</v>
      </c>
    </row>
    <row r="149" spans="1:6" ht="13" x14ac:dyDescent="0.15">
      <c r="A149" s="2">
        <f ca="1">IFERROR(__xludf.DUMMYFUNCTION("""COMPUTED_VALUE"""),42342.6666666666)</f>
        <v>42342.666666666599</v>
      </c>
      <c r="B149" s="1">
        <f ca="1">IFERROR(__xludf.DUMMYFUNCTION("""COMPUTED_VALUE"""),2051.24)</f>
        <v>2051.2399999999998</v>
      </c>
      <c r="C149" s="1">
        <f ca="1">IFERROR(__xludf.DUMMYFUNCTION("""COMPUTED_VALUE"""),2093.84)</f>
        <v>2093.84</v>
      </c>
      <c r="D149" s="1">
        <f ca="1">IFERROR(__xludf.DUMMYFUNCTION("""COMPUTED_VALUE"""),2051.24)</f>
        <v>2051.2399999999998</v>
      </c>
      <c r="E149" s="1">
        <f ca="1">IFERROR(__xludf.DUMMYFUNCTION("""COMPUTED_VALUE"""),2091.69)</f>
        <v>2091.69</v>
      </c>
      <c r="F149" s="1">
        <f ca="1">IFERROR(__xludf.DUMMYFUNCTION("""COMPUTED_VALUE"""),740000496)</f>
        <v>740000496</v>
      </c>
    </row>
    <row r="150" spans="1:6" ht="13" x14ac:dyDescent="0.15">
      <c r="A150" s="2">
        <f ca="1">IFERROR(__xludf.DUMMYFUNCTION("""COMPUTED_VALUE"""),42345.6666666666)</f>
        <v>42345.666666666599</v>
      </c>
      <c r="B150" s="1">
        <f ca="1">IFERROR(__xludf.DUMMYFUNCTION("""COMPUTED_VALUE"""),2090.42)</f>
        <v>2090.42</v>
      </c>
      <c r="C150" s="1">
        <f ca="1">IFERROR(__xludf.DUMMYFUNCTION("""COMPUTED_VALUE"""),2090.42)</f>
        <v>2090.42</v>
      </c>
      <c r="D150" s="1">
        <f ca="1">IFERROR(__xludf.DUMMYFUNCTION("""COMPUTED_VALUE"""),2066.78)</f>
        <v>2066.7800000000002</v>
      </c>
      <c r="E150" s="1">
        <f ca="1">IFERROR(__xludf.DUMMYFUNCTION("""COMPUTED_VALUE"""),2077.07)</f>
        <v>2077.0700000000002</v>
      </c>
      <c r="F150" s="1">
        <f ca="1">IFERROR(__xludf.DUMMYFUNCTION("""COMPUTED_VALUE"""),639169032)</f>
        <v>639169032</v>
      </c>
    </row>
    <row r="151" spans="1:6" ht="13" x14ac:dyDescent="0.15">
      <c r="A151" s="2">
        <f ca="1">IFERROR(__xludf.DUMMYFUNCTION("""COMPUTED_VALUE"""),42346.6666666666)</f>
        <v>42346.666666666599</v>
      </c>
      <c r="B151" s="1">
        <f ca="1">IFERROR(__xludf.DUMMYFUNCTION("""COMPUTED_VALUE"""),2073.39)</f>
        <v>2073.39</v>
      </c>
      <c r="C151" s="1">
        <f ca="1">IFERROR(__xludf.DUMMYFUNCTION("""COMPUTED_VALUE"""),2073.85)</f>
        <v>2073.85</v>
      </c>
      <c r="D151" s="1">
        <f ca="1">IFERROR(__xludf.DUMMYFUNCTION("""COMPUTED_VALUE"""),2052.32)</f>
        <v>2052.3200000000002</v>
      </c>
      <c r="E151" s="1">
        <f ca="1">IFERROR(__xludf.DUMMYFUNCTION("""COMPUTED_VALUE"""),2063.59)</f>
        <v>2063.59</v>
      </c>
      <c r="F151" s="1">
        <f ca="1">IFERROR(__xludf.DUMMYFUNCTION("""COMPUTED_VALUE"""),666623202)</f>
        <v>666623202</v>
      </c>
    </row>
    <row r="152" spans="1:6" ht="13" x14ac:dyDescent="0.15">
      <c r="A152" s="2">
        <f ca="1">IFERROR(__xludf.DUMMYFUNCTION("""COMPUTED_VALUE"""),42347.6666666666)</f>
        <v>42347.666666666599</v>
      </c>
      <c r="B152" s="1">
        <f ca="1">IFERROR(__xludf.DUMMYFUNCTION("""COMPUTED_VALUE"""),2061.17)</f>
        <v>2061.17</v>
      </c>
      <c r="C152" s="1">
        <f ca="1">IFERROR(__xludf.DUMMYFUNCTION("""COMPUTED_VALUE"""),2080.33)</f>
        <v>2080.33</v>
      </c>
      <c r="D152" s="1">
        <f ca="1">IFERROR(__xludf.DUMMYFUNCTION("""COMPUTED_VALUE"""),2036.53)</f>
        <v>2036.53</v>
      </c>
      <c r="E152" s="1">
        <f ca="1">IFERROR(__xludf.DUMMYFUNCTION("""COMPUTED_VALUE"""),2047.62)</f>
        <v>2047.62</v>
      </c>
      <c r="F152" s="1">
        <f ca="1">IFERROR(__xludf.DUMMYFUNCTION("""COMPUTED_VALUE"""),719904950)</f>
        <v>719904950</v>
      </c>
    </row>
    <row r="153" spans="1:6" ht="13" x14ac:dyDescent="0.15">
      <c r="A153" s="2">
        <f ca="1">IFERROR(__xludf.DUMMYFUNCTION("""COMPUTED_VALUE"""),42348.6666666666)</f>
        <v>42348.666666666599</v>
      </c>
      <c r="B153" s="1">
        <f ca="1">IFERROR(__xludf.DUMMYFUNCTION("""COMPUTED_VALUE"""),2047.93)</f>
        <v>2047.93</v>
      </c>
      <c r="C153" s="1">
        <f ca="1">IFERROR(__xludf.DUMMYFUNCTION("""COMPUTED_VALUE"""),2067.65)</f>
        <v>2067.65</v>
      </c>
      <c r="D153" s="1">
        <f ca="1">IFERROR(__xludf.DUMMYFUNCTION("""COMPUTED_VALUE"""),2045.67)</f>
        <v>2045.67</v>
      </c>
      <c r="E153" s="1">
        <f ca="1">IFERROR(__xludf.DUMMYFUNCTION("""COMPUTED_VALUE"""),2052.23)</f>
        <v>2052.23</v>
      </c>
      <c r="F153" s="1">
        <f ca="1">IFERROR(__xludf.DUMMYFUNCTION("""COMPUTED_VALUE"""),597997497)</f>
        <v>597997497</v>
      </c>
    </row>
    <row r="154" spans="1:6" ht="13" x14ac:dyDescent="0.15">
      <c r="A154" s="2">
        <f ca="1">IFERROR(__xludf.DUMMYFUNCTION("""COMPUTED_VALUE"""),42349.6666666666)</f>
        <v>42349.666666666599</v>
      </c>
      <c r="B154" s="1">
        <f ca="1">IFERROR(__xludf.DUMMYFUNCTION("""COMPUTED_VALUE"""),2047.27)</f>
        <v>2047.27</v>
      </c>
      <c r="C154" s="1">
        <f ca="1">IFERROR(__xludf.DUMMYFUNCTION("""COMPUTED_VALUE"""),2047.27)</f>
        <v>2047.27</v>
      </c>
      <c r="D154" s="1">
        <f ca="1">IFERROR(__xludf.DUMMYFUNCTION("""COMPUTED_VALUE"""),2008.8)</f>
        <v>2008.8</v>
      </c>
      <c r="E154" s="1">
        <f ca="1">IFERROR(__xludf.DUMMYFUNCTION("""COMPUTED_VALUE"""),2012.37)</f>
        <v>2012.37</v>
      </c>
      <c r="F154" s="1">
        <f ca="1">IFERROR(__xludf.DUMMYFUNCTION("""COMPUTED_VALUE"""),718417683)</f>
        <v>718417683</v>
      </c>
    </row>
    <row r="155" spans="1:6" ht="13" x14ac:dyDescent="0.15">
      <c r="A155" s="2">
        <f ca="1">IFERROR(__xludf.DUMMYFUNCTION("""COMPUTED_VALUE"""),42352.6666666666)</f>
        <v>42352.666666666599</v>
      </c>
      <c r="B155" s="1">
        <f ca="1">IFERROR(__xludf.DUMMYFUNCTION("""COMPUTED_VALUE"""),2013.37)</f>
        <v>2013.37</v>
      </c>
      <c r="C155" s="1">
        <f ca="1">IFERROR(__xludf.DUMMYFUNCTION("""COMPUTED_VALUE"""),2022.92)</f>
        <v>2022.92</v>
      </c>
      <c r="D155" s="1">
        <f ca="1">IFERROR(__xludf.DUMMYFUNCTION("""COMPUTED_VALUE"""),1993.26)</f>
        <v>1993.26</v>
      </c>
      <c r="E155" s="1">
        <f ca="1">IFERROR(__xludf.DUMMYFUNCTION("""COMPUTED_VALUE"""),2021.94)</f>
        <v>2021.94</v>
      </c>
      <c r="F155" s="1">
        <f ca="1">IFERROR(__xludf.DUMMYFUNCTION("""COMPUTED_VALUE"""),771571435)</f>
        <v>771571435</v>
      </c>
    </row>
    <row r="156" spans="1:6" ht="13" x14ac:dyDescent="0.15">
      <c r="A156" s="2">
        <f ca="1">IFERROR(__xludf.DUMMYFUNCTION("""COMPUTED_VALUE"""),42353.6666666666)</f>
        <v>42353.666666666599</v>
      </c>
      <c r="B156" s="1">
        <f ca="1">IFERROR(__xludf.DUMMYFUNCTION("""COMPUTED_VALUE"""),2025.55)</f>
        <v>2025.55</v>
      </c>
      <c r="C156" s="1">
        <f ca="1">IFERROR(__xludf.DUMMYFUNCTION("""COMPUTED_VALUE"""),2053.87)</f>
        <v>2053.87</v>
      </c>
      <c r="D156" s="1">
        <f ca="1">IFERROR(__xludf.DUMMYFUNCTION("""COMPUTED_VALUE"""),2025.55)</f>
        <v>2025.55</v>
      </c>
      <c r="E156" s="1">
        <f ca="1">IFERROR(__xludf.DUMMYFUNCTION("""COMPUTED_VALUE"""),2043.41)</f>
        <v>2043.41</v>
      </c>
      <c r="F156" s="1">
        <f ca="1">IFERROR(__xludf.DUMMYFUNCTION("""COMPUTED_VALUE"""),689853132)</f>
        <v>689853132</v>
      </c>
    </row>
    <row r="157" spans="1:6" ht="13" x14ac:dyDescent="0.15">
      <c r="A157" s="2">
        <f ca="1">IFERROR(__xludf.DUMMYFUNCTION("""COMPUTED_VALUE"""),42354.6666666666)</f>
        <v>42354.666666666599</v>
      </c>
      <c r="B157" s="1">
        <f ca="1">IFERROR(__xludf.DUMMYFUNCTION("""COMPUTED_VALUE"""),2046.5)</f>
        <v>2046.5</v>
      </c>
      <c r="C157" s="1">
        <f ca="1">IFERROR(__xludf.DUMMYFUNCTION("""COMPUTED_VALUE"""),2076.72)</f>
        <v>2076.7199999999998</v>
      </c>
      <c r="D157" s="1">
        <f ca="1">IFERROR(__xludf.DUMMYFUNCTION("""COMPUTED_VALUE"""),2042.43)</f>
        <v>2042.43</v>
      </c>
      <c r="E157" s="1">
        <f ca="1">IFERROR(__xludf.DUMMYFUNCTION("""COMPUTED_VALUE"""),2073.07)</f>
        <v>2073.0700000000002</v>
      </c>
      <c r="F157" s="1">
        <f ca="1">IFERROR(__xludf.DUMMYFUNCTION("""COMPUTED_VALUE"""),680651840)</f>
        <v>680651840</v>
      </c>
    </row>
    <row r="158" spans="1:6" ht="13" x14ac:dyDescent="0.15">
      <c r="A158" s="2">
        <f ca="1">IFERROR(__xludf.DUMMYFUNCTION("""COMPUTED_VALUE"""),42355.6666666666)</f>
        <v>42355.666666666599</v>
      </c>
      <c r="B158" s="1">
        <f ca="1">IFERROR(__xludf.DUMMYFUNCTION("""COMPUTED_VALUE"""),2073.76)</f>
        <v>2073.7600000000002</v>
      </c>
      <c r="C158" s="1">
        <f ca="1">IFERROR(__xludf.DUMMYFUNCTION("""COMPUTED_VALUE"""),2076.37)</f>
        <v>2076.37</v>
      </c>
      <c r="D158" s="1">
        <f ca="1">IFERROR(__xludf.DUMMYFUNCTION("""COMPUTED_VALUE"""),2041.66)</f>
        <v>2041.66</v>
      </c>
      <c r="E158" s="1">
        <f ca="1">IFERROR(__xludf.DUMMYFUNCTION("""COMPUTED_VALUE"""),2041.89)</f>
        <v>2041.89</v>
      </c>
      <c r="F158" s="1">
        <f ca="1">IFERROR(__xludf.DUMMYFUNCTION("""COMPUTED_VALUE"""),646285876)</f>
        <v>646285876</v>
      </c>
    </row>
    <row r="159" spans="1:6" ht="13" x14ac:dyDescent="0.15">
      <c r="A159" s="2">
        <f ca="1">IFERROR(__xludf.DUMMYFUNCTION("""COMPUTED_VALUE"""),42356.6666666666)</f>
        <v>42356.666666666599</v>
      </c>
      <c r="B159" s="1">
        <f ca="1">IFERROR(__xludf.DUMMYFUNCTION("""COMPUTED_VALUE"""),2040.81)</f>
        <v>2040.81</v>
      </c>
      <c r="C159" s="1">
        <f ca="1">IFERROR(__xludf.DUMMYFUNCTION("""COMPUTED_VALUE"""),2040.81)</f>
        <v>2040.81</v>
      </c>
      <c r="D159" s="1">
        <f ca="1">IFERROR(__xludf.DUMMYFUNCTION("""COMPUTED_VALUE"""),2005.33)</f>
        <v>2005.33</v>
      </c>
      <c r="E159" s="1">
        <f ca="1">IFERROR(__xludf.DUMMYFUNCTION("""COMPUTED_VALUE"""),2005.55)</f>
        <v>2005.55</v>
      </c>
      <c r="F159" s="1">
        <f ca="1">IFERROR(__xludf.DUMMYFUNCTION("""COMPUTED_VALUE"""),737827389)</f>
        <v>737827389</v>
      </c>
    </row>
    <row r="160" spans="1:6" ht="13" x14ac:dyDescent="0.15">
      <c r="A160" s="2">
        <f ca="1">IFERROR(__xludf.DUMMYFUNCTION("""COMPUTED_VALUE"""),42359.6666666666)</f>
        <v>42359.666666666599</v>
      </c>
      <c r="B160" s="1">
        <f ca="1">IFERROR(__xludf.DUMMYFUNCTION("""COMPUTED_VALUE"""),2010.27)</f>
        <v>2010.27</v>
      </c>
      <c r="C160" s="1">
        <f ca="1">IFERROR(__xludf.DUMMYFUNCTION("""COMPUTED_VALUE"""),2022.9)</f>
        <v>2022.9</v>
      </c>
      <c r="D160" s="1">
        <f ca="1">IFERROR(__xludf.DUMMYFUNCTION("""COMPUTED_VALUE"""),2005.93)</f>
        <v>2005.93</v>
      </c>
      <c r="E160" s="1">
        <f ca="1">IFERROR(__xludf.DUMMYFUNCTION("""COMPUTED_VALUE"""),2021.15)</f>
        <v>2021.15</v>
      </c>
      <c r="F160" s="1">
        <f ca="1">IFERROR(__xludf.DUMMYFUNCTION("""COMPUTED_VALUE"""),610294061)</f>
        <v>610294061</v>
      </c>
    </row>
    <row r="161" spans="1:6" ht="13" x14ac:dyDescent="0.15">
      <c r="A161" s="2">
        <f ca="1">IFERROR(__xludf.DUMMYFUNCTION("""COMPUTED_VALUE"""),42360.6666666666)</f>
        <v>42360.666666666599</v>
      </c>
      <c r="B161" s="1">
        <f ca="1">IFERROR(__xludf.DUMMYFUNCTION("""COMPUTED_VALUE"""),2023.15)</f>
        <v>2023.15</v>
      </c>
      <c r="C161" s="1">
        <f ca="1">IFERROR(__xludf.DUMMYFUNCTION("""COMPUTED_VALUE"""),2042.74)</f>
        <v>2042.74</v>
      </c>
      <c r="D161" s="1">
        <f ca="1">IFERROR(__xludf.DUMMYFUNCTION("""COMPUTED_VALUE"""),2020.49)</f>
        <v>2020.49</v>
      </c>
      <c r="E161" s="1">
        <f ca="1">IFERROR(__xludf.DUMMYFUNCTION("""COMPUTED_VALUE"""),2038.97)</f>
        <v>2038.97</v>
      </c>
      <c r="F161" s="1">
        <f ca="1">IFERROR(__xludf.DUMMYFUNCTION("""COMPUTED_VALUE"""),546862689)</f>
        <v>546862689</v>
      </c>
    </row>
    <row r="162" spans="1:6" ht="13" x14ac:dyDescent="0.15">
      <c r="A162" s="2">
        <f ca="1">IFERROR(__xludf.DUMMYFUNCTION("""COMPUTED_VALUE"""),42361.6666666666)</f>
        <v>42361.666666666599</v>
      </c>
      <c r="B162" s="1">
        <f ca="1">IFERROR(__xludf.DUMMYFUNCTION("""COMPUTED_VALUE"""),2042.2)</f>
        <v>2042.2</v>
      </c>
      <c r="C162" s="1">
        <f ca="1">IFERROR(__xludf.DUMMYFUNCTION("""COMPUTED_VALUE"""),2064.73)</f>
        <v>2064.73</v>
      </c>
      <c r="D162" s="1">
        <f ca="1">IFERROR(__xludf.DUMMYFUNCTION("""COMPUTED_VALUE"""),2042.2)</f>
        <v>2042.2</v>
      </c>
      <c r="E162" s="1">
        <f ca="1">IFERROR(__xludf.DUMMYFUNCTION("""COMPUTED_VALUE"""),2064.29)</f>
        <v>2064.29</v>
      </c>
      <c r="F162" s="1">
        <f ca="1">IFERROR(__xludf.DUMMYFUNCTION("""COMPUTED_VALUE"""),545191292)</f>
        <v>545191292</v>
      </c>
    </row>
    <row r="163" spans="1:6" ht="13" x14ac:dyDescent="0.15">
      <c r="A163" s="2">
        <f ca="1">IFERROR(__xludf.DUMMYFUNCTION("""COMPUTED_VALUE"""),42362.6666666666)</f>
        <v>42362.666666666599</v>
      </c>
      <c r="B163" s="1">
        <f ca="1">IFERROR(__xludf.DUMMYFUNCTION("""COMPUTED_VALUE"""),2063.52)</f>
        <v>2063.52</v>
      </c>
      <c r="C163" s="1">
        <f ca="1">IFERROR(__xludf.DUMMYFUNCTION("""COMPUTED_VALUE"""),2067.36)</f>
        <v>2067.36</v>
      </c>
      <c r="D163" s="1">
        <f ca="1">IFERROR(__xludf.DUMMYFUNCTION("""COMPUTED_VALUE"""),2058.73)</f>
        <v>2058.73</v>
      </c>
      <c r="E163" s="1">
        <f ca="1">IFERROR(__xludf.DUMMYFUNCTION("""COMPUTED_VALUE"""),2060.99)</f>
        <v>2060.9899999999998</v>
      </c>
      <c r="F163" s="1">
        <f ca="1">IFERROR(__xludf.DUMMYFUNCTION("""COMPUTED_VALUE"""),250570206)</f>
        <v>250570206</v>
      </c>
    </row>
    <row r="164" spans="1:6" ht="13" x14ac:dyDescent="0.15">
      <c r="A164" s="2">
        <f ca="1">IFERROR(__xludf.DUMMYFUNCTION("""COMPUTED_VALUE"""),42366.6666666666)</f>
        <v>42366.666666666599</v>
      </c>
      <c r="B164" s="1">
        <f ca="1">IFERROR(__xludf.DUMMYFUNCTION("""COMPUTED_VALUE"""),2057.77)</f>
        <v>2057.77</v>
      </c>
      <c r="C164" s="1">
        <f ca="1">IFERROR(__xludf.DUMMYFUNCTION("""COMPUTED_VALUE"""),2057.77)</f>
        <v>2057.77</v>
      </c>
      <c r="D164" s="1">
        <f ca="1">IFERROR(__xludf.DUMMYFUNCTION("""COMPUTED_VALUE"""),2044.2)</f>
        <v>2044.2</v>
      </c>
      <c r="E164" s="1">
        <f ca="1">IFERROR(__xludf.DUMMYFUNCTION("""COMPUTED_VALUE"""),2056.5)</f>
        <v>2056.5</v>
      </c>
      <c r="F164" s="1">
        <f ca="1">IFERROR(__xludf.DUMMYFUNCTION("""COMPUTED_VALUE"""),367737617)</f>
        <v>367737617</v>
      </c>
    </row>
    <row r="165" spans="1:6" ht="13" x14ac:dyDescent="0.15">
      <c r="A165" s="2">
        <f ca="1">IFERROR(__xludf.DUMMYFUNCTION("""COMPUTED_VALUE"""),42367.6666666666)</f>
        <v>42367.666666666599</v>
      </c>
      <c r="B165" s="1">
        <f ca="1">IFERROR(__xludf.DUMMYFUNCTION("""COMPUTED_VALUE"""),2060.54)</f>
        <v>2060.54</v>
      </c>
      <c r="C165" s="1">
        <f ca="1">IFERROR(__xludf.DUMMYFUNCTION("""COMPUTED_VALUE"""),2081.56)</f>
        <v>2081.56</v>
      </c>
      <c r="D165" s="1">
        <f ca="1">IFERROR(__xludf.DUMMYFUNCTION("""COMPUTED_VALUE"""),2060.54)</f>
        <v>2060.54</v>
      </c>
      <c r="E165" s="1">
        <f ca="1">IFERROR(__xludf.DUMMYFUNCTION("""COMPUTED_VALUE"""),2078.36)</f>
        <v>2078.36</v>
      </c>
      <c r="F165" s="1">
        <f ca="1">IFERROR(__xludf.DUMMYFUNCTION("""COMPUTED_VALUE"""),379027946)</f>
        <v>379027946</v>
      </c>
    </row>
    <row r="166" spans="1:6" ht="13" x14ac:dyDescent="0.15">
      <c r="A166" s="2">
        <f ca="1">IFERROR(__xludf.DUMMYFUNCTION("""COMPUTED_VALUE"""),42368.6666666666)</f>
        <v>42368.666666666599</v>
      </c>
      <c r="B166" s="1">
        <f ca="1">IFERROR(__xludf.DUMMYFUNCTION("""COMPUTED_VALUE"""),2077.34)</f>
        <v>2077.34</v>
      </c>
      <c r="C166" s="1">
        <f ca="1">IFERROR(__xludf.DUMMYFUNCTION("""COMPUTED_VALUE"""),2077.34)</f>
        <v>2077.34</v>
      </c>
      <c r="D166" s="1">
        <f ca="1">IFERROR(__xludf.DUMMYFUNCTION("""COMPUTED_VALUE"""),2061.97)</f>
        <v>2061.9699999999998</v>
      </c>
      <c r="E166" s="1">
        <f ca="1">IFERROR(__xludf.DUMMYFUNCTION("""COMPUTED_VALUE"""),2063.36)</f>
        <v>2063.36</v>
      </c>
      <c r="F166" s="1">
        <f ca="1">IFERROR(__xludf.DUMMYFUNCTION("""COMPUTED_VALUE"""),334631231)</f>
        <v>334631231</v>
      </c>
    </row>
    <row r="167" spans="1:6" ht="13" x14ac:dyDescent="0.15">
      <c r="A167" s="2">
        <f ca="1">IFERROR(__xludf.DUMMYFUNCTION("""COMPUTED_VALUE"""),42369.6666666666)</f>
        <v>42369.666666666599</v>
      </c>
      <c r="B167" s="1">
        <f ca="1">IFERROR(__xludf.DUMMYFUNCTION("""COMPUTED_VALUE"""),2060.59)</f>
        <v>2060.59</v>
      </c>
      <c r="C167" s="1">
        <f ca="1">IFERROR(__xludf.DUMMYFUNCTION("""COMPUTED_VALUE"""),2062.54)</f>
        <v>2062.54</v>
      </c>
      <c r="D167" s="1">
        <f ca="1">IFERROR(__xludf.DUMMYFUNCTION("""COMPUTED_VALUE"""),2043.62)</f>
        <v>2043.62</v>
      </c>
      <c r="E167" s="1">
        <f ca="1">IFERROR(__xludf.DUMMYFUNCTION("""COMPUTED_VALUE"""),2043.94)</f>
        <v>2043.94</v>
      </c>
      <c r="F167" s="1">
        <f ca="1">IFERROR(__xludf.DUMMYFUNCTION("""COMPUTED_VALUE"""),482596709)</f>
        <v>482596709</v>
      </c>
    </row>
    <row r="168" spans="1:6" ht="13" x14ac:dyDescent="0.15">
      <c r="A168" s="2">
        <f ca="1">IFERROR(__xludf.DUMMYFUNCTION("""COMPUTED_VALUE"""),42373.6666666666)</f>
        <v>42373.666666666599</v>
      </c>
      <c r="B168" s="1">
        <f ca="1">IFERROR(__xludf.DUMMYFUNCTION("""COMPUTED_VALUE"""),2038.2)</f>
        <v>2038.2</v>
      </c>
      <c r="C168" s="1">
        <f ca="1">IFERROR(__xludf.DUMMYFUNCTION("""COMPUTED_VALUE"""),2038.2)</f>
        <v>2038.2</v>
      </c>
      <c r="D168" s="1">
        <f ca="1">IFERROR(__xludf.DUMMYFUNCTION("""COMPUTED_VALUE"""),1989.68)</f>
        <v>1989.68</v>
      </c>
      <c r="E168" s="1">
        <f ca="1">IFERROR(__xludf.DUMMYFUNCTION("""COMPUTED_VALUE"""),2012.66)</f>
        <v>2012.66</v>
      </c>
      <c r="F168" s="1">
        <f ca="1">IFERROR(__xludf.DUMMYFUNCTION("""COMPUTED_VALUE"""),802072115)</f>
        <v>802072115</v>
      </c>
    </row>
    <row r="169" spans="1:6" ht="13" x14ac:dyDescent="0.15">
      <c r="A169" s="2">
        <f ca="1">IFERROR(__xludf.DUMMYFUNCTION("""COMPUTED_VALUE"""),42374.6666666666)</f>
        <v>42374.666666666599</v>
      </c>
      <c r="B169" s="1">
        <f ca="1">IFERROR(__xludf.DUMMYFUNCTION("""COMPUTED_VALUE"""),2013.78)</f>
        <v>2013.78</v>
      </c>
      <c r="C169" s="1">
        <f ca="1">IFERROR(__xludf.DUMMYFUNCTION("""COMPUTED_VALUE"""),2021.94)</f>
        <v>2021.94</v>
      </c>
      <c r="D169" s="1">
        <f ca="1">IFERROR(__xludf.DUMMYFUNCTION("""COMPUTED_VALUE"""),2004.17)</f>
        <v>2004.17</v>
      </c>
      <c r="E169" s="1">
        <f ca="1">IFERROR(__xludf.DUMMYFUNCTION("""COMPUTED_VALUE"""),2016.71)</f>
        <v>2016.71</v>
      </c>
      <c r="F169" s="1">
        <f ca="1">IFERROR(__xludf.DUMMYFUNCTION("""COMPUTED_VALUE"""),619260483)</f>
        <v>619260483</v>
      </c>
    </row>
    <row r="170" spans="1:6" ht="13" x14ac:dyDescent="0.15">
      <c r="A170" s="2">
        <f ca="1">IFERROR(__xludf.DUMMYFUNCTION("""COMPUTED_VALUE"""),42375.6666666666)</f>
        <v>42375.666666666599</v>
      </c>
      <c r="B170" s="1">
        <f ca="1">IFERROR(__xludf.DUMMYFUNCTION("""COMPUTED_VALUE"""),2011.71)</f>
        <v>2011.71</v>
      </c>
      <c r="C170" s="1">
        <f ca="1">IFERROR(__xludf.DUMMYFUNCTION("""COMPUTED_VALUE"""),2011.71)</f>
        <v>2011.71</v>
      </c>
      <c r="D170" s="1">
        <f ca="1">IFERROR(__xludf.DUMMYFUNCTION("""COMPUTED_VALUE"""),1979.05)</f>
        <v>1979.05</v>
      </c>
      <c r="E170" s="1">
        <f ca="1">IFERROR(__xludf.DUMMYFUNCTION("""COMPUTED_VALUE"""),1990.26)</f>
        <v>1990.26</v>
      </c>
      <c r="F170" s="1">
        <f ca="1">IFERROR(__xludf.DUMMYFUNCTION("""COMPUTED_VALUE"""),734820348)</f>
        <v>734820348</v>
      </c>
    </row>
    <row r="171" spans="1:6" ht="13" x14ac:dyDescent="0.15">
      <c r="A171" s="2">
        <f ca="1">IFERROR(__xludf.DUMMYFUNCTION("""COMPUTED_VALUE"""),42376.6666666666)</f>
        <v>42376.666666666599</v>
      </c>
      <c r="B171" s="1">
        <f ca="1">IFERROR(__xludf.DUMMYFUNCTION("""COMPUTED_VALUE"""),1985.32)</f>
        <v>1985.32</v>
      </c>
      <c r="C171" s="1">
        <f ca="1">IFERROR(__xludf.DUMMYFUNCTION("""COMPUTED_VALUE"""),1985.32)</f>
        <v>1985.32</v>
      </c>
      <c r="D171" s="1">
        <f ca="1">IFERROR(__xludf.DUMMYFUNCTION("""COMPUTED_VALUE"""),1938.83)</f>
        <v>1938.83</v>
      </c>
      <c r="E171" s="1">
        <f ca="1">IFERROR(__xludf.DUMMYFUNCTION("""COMPUTED_VALUE"""),1943.09)</f>
        <v>1943.09</v>
      </c>
      <c r="F171" s="1">
        <f ca="1">IFERROR(__xludf.DUMMYFUNCTION("""COMPUTED_VALUE"""),860517477)</f>
        <v>860517477</v>
      </c>
    </row>
    <row r="172" spans="1:6" ht="13" x14ac:dyDescent="0.15">
      <c r="A172" s="2">
        <f ca="1">IFERROR(__xludf.DUMMYFUNCTION("""COMPUTED_VALUE"""),42377.6666666666)</f>
        <v>42377.666666666599</v>
      </c>
      <c r="B172" s="1">
        <f ca="1">IFERROR(__xludf.DUMMYFUNCTION("""COMPUTED_VALUE"""),1945.97)</f>
        <v>1945.97</v>
      </c>
      <c r="C172" s="1">
        <f ca="1">IFERROR(__xludf.DUMMYFUNCTION("""COMPUTED_VALUE"""),1960.4)</f>
        <v>1960.4</v>
      </c>
      <c r="D172" s="1">
        <f ca="1">IFERROR(__xludf.DUMMYFUNCTION("""COMPUTED_VALUE"""),1918.46)</f>
        <v>1918.46</v>
      </c>
      <c r="E172" s="1">
        <f ca="1">IFERROR(__xludf.DUMMYFUNCTION("""COMPUTED_VALUE"""),1922.03)</f>
        <v>1922.03</v>
      </c>
      <c r="F172" s="1">
        <f ca="1">IFERROR(__xludf.DUMMYFUNCTION("""COMPUTED_VALUE"""),800798104)</f>
        <v>800798104</v>
      </c>
    </row>
    <row r="173" spans="1:6" ht="13" x14ac:dyDescent="0.15">
      <c r="A173" s="2">
        <f ca="1">IFERROR(__xludf.DUMMYFUNCTION("""COMPUTED_VALUE"""),42380.6666666666)</f>
        <v>42380.666666666599</v>
      </c>
      <c r="B173" s="1">
        <f ca="1">IFERROR(__xludf.DUMMYFUNCTION("""COMPUTED_VALUE"""),1926.12)</f>
        <v>1926.12</v>
      </c>
      <c r="C173" s="1">
        <f ca="1">IFERROR(__xludf.DUMMYFUNCTION("""COMPUTED_VALUE"""),1935.65)</f>
        <v>1935.65</v>
      </c>
      <c r="D173" s="1">
        <f ca="1">IFERROR(__xludf.DUMMYFUNCTION("""COMPUTED_VALUE"""),1901.1)</f>
        <v>1901.1</v>
      </c>
      <c r="E173" s="1">
        <f ca="1">IFERROR(__xludf.DUMMYFUNCTION("""COMPUTED_VALUE"""),1923.67)</f>
        <v>1923.67</v>
      </c>
      <c r="F173" s="1">
        <f ca="1">IFERROR(__xludf.DUMMYFUNCTION("""COMPUTED_VALUE"""),775646469)</f>
        <v>775646469</v>
      </c>
    </row>
    <row r="174" spans="1:6" ht="13" x14ac:dyDescent="0.15">
      <c r="A174" s="2">
        <f ca="1">IFERROR(__xludf.DUMMYFUNCTION("""COMPUTED_VALUE"""),42381.6666666666)</f>
        <v>42381.666666666599</v>
      </c>
      <c r="B174" s="1">
        <f ca="1">IFERROR(__xludf.DUMMYFUNCTION("""COMPUTED_VALUE"""),1927.83)</f>
        <v>1927.83</v>
      </c>
      <c r="C174" s="1">
        <f ca="1">IFERROR(__xludf.DUMMYFUNCTION("""COMPUTED_VALUE"""),1947.38)</f>
        <v>1947.38</v>
      </c>
      <c r="D174" s="1">
        <f ca="1">IFERROR(__xludf.DUMMYFUNCTION("""COMPUTED_VALUE"""),1914.35)</f>
        <v>1914.35</v>
      </c>
      <c r="E174" s="1">
        <f ca="1">IFERROR(__xludf.DUMMYFUNCTION("""COMPUTED_VALUE"""),1938.68)</f>
        <v>1938.68</v>
      </c>
      <c r="F174" s="1">
        <f ca="1">IFERROR(__xludf.DUMMYFUNCTION("""COMPUTED_VALUE"""),759189614)</f>
        <v>759189614</v>
      </c>
    </row>
    <row r="175" spans="1:6" ht="13" x14ac:dyDescent="0.15">
      <c r="A175" s="2">
        <f ca="1">IFERROR(__xludf.DUMMYFUNCTION("""COMPUTED_VALUE"""),42382.6666666666)</f>
        <v>42382.666666666599</v>
      </c>
      <c r="B175" s="1">
        <f ca="1">IFERROR(__xludf.DUMMYFUNCTION("""COMPUTED_VALUE"""),1940.34)</f>
        <v>1940.34</v>
      </c>
      <c r="C175" s="1">
        <f ca="1">IFERROR(__xludf.DUMMYFUNCTION("""COMPUTED_VALUE"""),1950.33)</f>
        <v>1950.33</v>
      </c>
      <c r="D175" s="1">
        <f ca="1">IFERROR(__xludf.DUMMYFUNCTION("""COMPUTED_VALUE"""),1886.41)</f>
        <v>1886.41</v>
      </c>
      <c r="E175" s="1">
        <f ca="1">IFERROR(__xludf.DUMMYFUNCTION("""COMPUTED_VALUE"""),1890.28)</f>
        <v>1890.28</v>
      </c>
      <c r="F175" s="1">
        <f ca="1">IFERROR(__xludf.DUMMYFUNCTION("""COMPUTED_VALUE"""),874565406)</f>
        <v>874565406</v>
      </c>
    </row>
    <row r="176" spans="1:6" ht="13" x14ac:dyDescent="0.15">
      <c r="A176" s="2">
        <f ca="1">IFERROR(__xludf.DUMMYFUNCTION("""COMPUTED_VALUE"""),42383.6666666666)</f>
        <v>42383.666666666599</v>
      </c>
      <c r="B176" s="1">
        <f ca="1">IFERROR(__xludf.DUMMYFUNCTION("""COMPUTED_VALUE"""),1891.68)</f>
        <v>1891.68</v>
      </c>
      <c r="C176" s="1">
        <f ca="1">IFERROR(__xludf.DUMMYFUNCTION("""COMPUTED_VALUE"""),1934.47)</f>
        <v>1934.47</v>
      </c>
      <c r="D176" s="1">
        <f ca="1">IFERROR(__xludf.DUMMYFUNCTION("""COMPUTED_VALUE"""),1878.93)</f>
        <v>1878.93</v>
      </c>
      <c r="E176" s="1">
        <f ca="1">IFERROR(__xludf.DUMMYFUNCTION("""COMPUTED_VALUE"""),1921.84)</f>
        <v>1921.84</v>
      </c>
      <c r="F176" s="1">
        <f ca="1">IFERROR(__xludf.DUMMYFUNCTION("""COMPUTED_VALUE"""),920305719)</f>
        <v>920305719</v>
      </c>
    </row>
    <row r="177" spans="1:6" ht="13" x14ac:dyDescent="0.15">
      <c r="A177" s="2">
        <f ca="1">IFERROR(__xludf.DUMMYFUNCTION("""COMPUTED_VALUE"""),42384.6666666666)</f>
        <v>42384.666666666599</v>
      </c>
      <c r="B177" s="1">
        <f ca="1">IFERROR(__xludf.DUMMYFUNCTION("""COMPUTED_VALUE"""),1916.68)</f>
        <v>1916.68</v>
      </c>
      <c r="C177" s="1">
        <f ca="1">IFERROR(__xludf.DUMMYFUNCTION("""COMPUTED_VALUE"""),1916.68)</f>
        <v>1916.68</v>
      </c>
      <c r="D177" s="1">
        <f ca="1">IFERROR(__xludf.DUMMYFUNCTION("""COMPUTED_VALUE"""),1857.83)</f>
        <v>1857.83</v>
      </c>
      <c r="E177" s="1">
        <f ca="1">IFERROR(__xludf.DUMMYFUNCTION("""COMPUTED_VALUE"""),1880.33)</f>
        <v>1880.33</v>
      </c>
      <c r="F177" s="1">
        <f ca="1">IFERROR(__xludf.DUMMYFUNCTION("""COMPUTED_VALUE"""),121200428)</f>
        <v>121200428</v>
      </c>
    </row>
    <row r="178" spans="1:6" ht="13" x14ac:dyDescent="0.15">
      <c r="A178" s="2">
        <f ca="1">IFERROR(__xludf.DUMMYFUNCTION("""COMPUTED_VALUE"""),42388.6666666666)</f>
        <v>42388.666666666599</v>
      </c>
      <c r="B178" s="1">
        <f ca="1">IFERROR(__xludf.DUMMYFUNCTION("""COMPUTED_VALUE"""),1888.66)</f>
        <v>1888.66</v>
      </c>
      <c r="C178" s="1">
        <f ca="1">IFERROR(__xludf.DUMMYFUNCTION("""COMPUTED_VALUE"""),1901.44)</f>
        <v>1901.44</v>
      </c>
      <c r="D178" s="1">
        <f ca="1">IFERROR(__xludf.DUMMYFUNCTION("""COMPUTED_VALUE"""),1864.6)</f>
        <v>1864.6</v>
      </c>
      <c r="E178" s="1">
        <f ca="1">IFERROR(__xludf.DUMMYFUNCTION("""COMPUTED_VALUE"""),1881.33)</f>
        <v>1881.33</v>
      </c>
      <c r="F178" s="1">
        <f ca="1">IFERROR(__xludf.DUMMYFUNCTION("""COMPUTED_VALUE"""),876359950)</f>
        <v>876359950</v>
      </c>
    </row>
    <row r="179" spans="1:6" ht="13" x14ac:dyDescent="0.15">
      <c r="A179" s="2">
        <f ca="1">IFERROR(__xludf.DUMMYFUNCTION("""COMPUTED_VALUE"""),42389.6666666666)</f>
        <v>42389.666666666599</v>
      </c>
      <c r="B179" s="1">
        <f ca="1">IFERROR(__xludf.DUMMYFUNCTION("""COMPUTED_VALUE"""),1876.18)</f>
        <v>1876.18</v>
      </c>
      <c r="C179" s="1">
        <f ca="1">IFERROR(__xludf.DUMMYFUNCTION("""COMPUTED_VALUE"""),1876.18)</f>
        <v>1876.18</v>
      </c>
      <c r="D179" s="1">
        <f ca="1">IFERROR(__xludf.DUMMYFUNCTION("""COMPUTED_VALUE"""),1812.29)</f>
        <v>1812.29</v>
      </c>
      <c r="E179" s="1">
        <f ca="1">IFERROR(__xludf.DUMMYFUNCTION("""COMPUTED_VALUE"""),1859.33)</f>
        <v>1859.33</v>
      </c>
      <c r="F179" s="1">
        <f ca="1">IFERROR(__xludf.DUMMYFUNCTION("""COMPUTED_VALUE"""),4309713)</f>
        <v>4309713</v>
      </c>
    </row>
    <row r="180" spans="1:6" ht="13" x14ac:dyDescent="0.15">
      <c r="A180" s="2">
        <f ca="1">IFERROR(__xludf.DUMMYFUNCTION("""COMPUTED_VALUE"""),42390.6666666666)</f>
        <v>42390.666666666599</v>
      </c>
      <c r="B180" s="1">
        <f ca="1">IFERROR(__xludf.DUMMYFUNCTION("""COMPUTED_VALUE"""),1861.46)</f>
        <v>1861.46</v>
      </c>
      <c r="C180" s="1">
        <f ca="1">IFERROR(__xludf.DUMMYFUNCTION("""COMPUTED_VALUE"""),1889.85)</f>
        <v>1889.85</v>
      </c>
      <c r="D180" s="1">
        <f ca="1">IFERROR(__xludf.DUMMYFUNCTION("""COMPUTED_VALUE"""),1848.98)</f>
        <v>1848.98</v>
      </c>
      <c r="E180" s="1">
        <f ca="1">IFERROR(__xludf.DUMMYFUNCTION("""COMPUTED_VALUE"""),1868.99)</f>
        <v>1868.99</v>
      </c>
      <c r="F180" s="1">
        <f ca="1">IFERROR(__xludf.DUMMYFUNCTION("""COMPUTED_VALUE"""),853633943)</f>
        <v>853633943</v>
      </c>
    </row>
    <row r="181" spans="1:6" ht="13" x14ac:dyDescent="0.15">
      <c r="A181" s="2">
        <f ca="1">IFERROR(__xludf.DUMMYFUNCTION("""COMPUTED_VALUE"""),42391.6666666666)</f>
        <v>42391.666666666599</v>
      </c>
      <c r="B181" s="1">
        <f ca="1">IFERROR(__xludf.DUMMYFUNCTION("""COMPUTED_VALUE"""),1877.4)</f>
        <v>1877.4</v>
      </c>
      <c r="C181" s="1">
        <f ca="1">IFERROR(__xludf.DUMMYFUNCTION("""COMPUTED_VALUE"""),1908.85)</f>
        <v>1908.85</v>
      </c>
      <c r="D181" s="1">
        <f ca="1">IFERROR(__xludf.DUMMYFUNCTION("""COMPUTED_VALUE"""),1877.4)</f>
        <v>1877.4</v>
      </c>
      <c r="E181" s="1">
        <f ca="1">IFERROR(__xludf.DUMMYFUNCTION("""COMPUTED_VALUE"""),1906.9)</f>
        <v>1906.9</v>
      </c>
      <c r="F181" s="1">
        <f ca="1">IFERROR(__xludf.DUMMYFUNCTION("""COMPUTED_VALUE"""),809147435)</f>
        <v>809147435</v>
      </c>
    </row>
    <row r="182" spans="1:6" ht="13" x14ac:dyDescent="0.15">
      <c r="A182" s="2">
        <f ca="1">IFERROR(__xludf.DUMMYFUNCTION("""COMPUTED_VALUE"""),42394.6666666666)</f>
        <v>42394.666666666599</v>
      </c>
      <c r="B182" s="1">
        <f ca="1">IFERROR(__xludf.DUMMYFUNCTION("""COMPUTED_VALUE"""),1906.28)</f>
        <v>1906.28</v>
      </c>
      <c r="C182" s="1">
        <f ca="1">IFERROR(__xludf.DUMMYFUNCTION("""COMPUTED_VALUE"""),1906.28)</f>
        <v>1906.28</v>
      </c>
      <c r="D182" s="1">
        <f ca="1">IFERROR(__xludf.DUMMYFUNCTION("""COMPUTED_VALUE"""),1875.97)</f>
        <v>1875.97</v>
      </c>
      <c r="E182" s="1">
        <f ca="1">IFERROR(__xludf.DUMMYFUNCTION("""COMPUTED_VALUE"""),1877.08)</f>
        <v>1877.08</v>
      </c>
      <c r="F182" s="1">
        <f ca="1">IFERROR(__xludf.DUMMYFUNCTION("""COMPUTED_VALUE"""),760931974)</f>
        <v>760931974</v>
      </c>
    </row>
    <row r="183" spans="1:6" ht="13" x14ac:dyDescent="0.15">
      <c r="A183" s="2">
        <f ca="1">IFERROR(__xludf.DUMMYFUNCTION("""COMPUTED_VALUE"""),42395.6666666666)</f>
        <v>42395.666666666599</v>
      </c>
      <c r="B183" s="1">
        <f ca="1">IFERROR(__xludf.DUMMYFUNCTION("""COMPUTED_VALUE"""),1878.79)</f>
        <v>1878.79</v>
      </c>
      <c r="C183" s="1">
        <f ca="1">IFERROR(__xludf.DUMMYFUNCTION("""COMPUTED_VALUE"""),1906.73)</f>
        <v>1906.73</v>
      </c>
      <c r="D183" s="1">
        <f ca="1">IFERROR(__xludf.DUMMYFUNCTION("""COMPUTED_VALUE"""),1878.79)</f>
        <v>1878.79</v>
      </c>
      <c r="E183" s="1">
        <f ca="1">IFERROR(__xludf.DUMMYFUNCTION("""COMPUTED_VALUE"""),1903.63)</f>
        <v>1903.63</v>
      </c>
      <c r="F183" s="1">
        <f ca="1">IFERROR(__xludf.DUMMYFUNCTION("""COMPUTED_VALUE"""),695956044)</f>
        <v>695956044</v>
      </c>
    </row>
    <row r="184" spans="1:6" ht="13" x14ac:dyDescent="0.15">
      <c r="A184" s="2">
        <f ca="1">IFERROR(__xludf.DUMMYFUNCTION("""COMPUTED_VALUE"""),42396.6666666666)</f>
        <v>42396.666666666599</v>
      </c>
      <c r="B184" s="1">
        <f ca="1">IFERROR(__xludf.DUMMYFUNCTION("""COMPUTED_VALUE"""),1902.52)</f>
        <v>1902.52</v>
      </c>
      <c r="C184" s="1">
        <f ca="1">IFERROR(__xludf.DUMMYFUNCTION("""COMPUTED_VALUE"""),1916.99)</f>
        <v>1916.99</v>
      </c>
      <c r="D184" s="1">
        <f ca="1">IFERROR(__xludf.DUMMYFUNCTION("""COMPUTED_VALUE"""),1872.7)</f>
        <v>1872.7</v>
      </c>
      <c r="E184" s="1">
        <f ca="1">IFERROR(__xludf.DUMMYFUNCTION("""COMPUTED_VALUE"""),1882.95)</f>
        <v>1882.95</v>
      </c>
      <c r="F184" s="1">
        <f ca="1">IFERROR(__xludf.DUMMYFUNCTION("""COMPUTED_VALUE"""),801306427)</f>
        <v>801306427</v>
      </c>
    </row>
    <row r="185" spans="1:6" ht="13" x14ac:dyDescent="0.15">
      <c r="A185" s="2">
        <f ca="1">IFERROR(__xludf.DUMMYFUNCTION("""COMPUTED_VALUE"""),42397.6666666666)</f>
        <v>42397.666666666599</v>
      </c>
      <c r="B185" s="1">
        <f ca="1">IFERROR(__xludf.DUMMYFUNCTION("""COMPUTED_VALUE"""),1885.22)</f>
        <v>1885.22</v>
      </c>
      <c r="C185" s="1">
        <f ca="1">IFERROR(__xludf.DUMMYFUNCTION("""COMPUTED_VALUE"""),1902.96)</f>
        <v>1902.96</v>
      </c>
      <c r="D185" s="1">
        <f ca="1">IFERROR(__xludf.DUMMYFUNCTION("""COMPUTED_VALUE"""),1873.65)</f>
        <v>1873.65</v>
      </c>
      <c r="E185" s="1">
        <f ca="1">IFERROR(__xludf.DUMMYFUNCTION("""COMPUTED_VALUE"""),1893.36)</f>
        <v>1893.36</v>
      </c>
      <c r="F185" s="1">
        <f ca="1">IFERROR(__xludf.DUMMYFUNCTION("""COMPUTED_VALUE"""),820296447)</f>
        <v>820296447</v>
      </c>
    </row>
    <row r="186" spans="1:6" ht="13" x14ac:dyDescent="0.15">
      <c r="A186" s="2">
        <f ca="1">IFERROR(__xludf.DUMMYFUNCTION("""COMPUTED_VALUE"""),42398.6666666666)</f>
        <v>42398.666666666599</v>
      </c>
      <c r="B186" s="1">
        <f ca="1">IFERROR(__xludf.DUMMYFUNCTION("""COMPUTED_VALUE"""),1894)</f>
        <v>1894</v>
      </c>
      <c r="C186" s="1">
        <f ca="1">IFERROR(__xludf.DUMMYFUNCTION("""COMPUTED_VALUE"""),1940.24)</f>
        <v>1940.24</v>
      </c>
      <c r="D186" s="1">
        <f ca="1">IFERROR(__xludf.DUMMYFUNCTION("""COMPUTED_VALUE"""),1894)</f>
        <v>1894</v>
      </c>
      <c r="E186" s="1">
        <f ca="1">IFERROR(__xludf.DUMMYFUNCTION("""COMPUTED_VALUE"""),1940.24)</f>
        <v>1940.24</v>
      </c>
      <c r="F186" s="1">
        <f ca="1">IFERROR(__xludf.DUMMYFUNCTION("""COMPUTED_VALUE"""),144609311)</f>
        <v>144609311</v>
      </c>
    </row>
    <row r="187" spans="1:6" ht="13" x14ac:dyDescent="0.15">
      <c r="A187" s="2">
        <f ca="1">IFERROR(__xludf.DUMMYFUNCTION("""COMPUTED_VALUE"""),42401.6666666666)</f>
        <v>42401.666666666599</v>
      </c>
      <c r="B187" s="1">
        <f ca="1">IFERROR(__xludf.DUMMYFUNCTION("""COMPUTED_VALUE"""),1936.94)</f>
        <v>1936.94</v>
      </c>
      <c r="C187" s="1">
        <f ca="1">IFERROR(__xludf.DUMMYFUNCTION("""COMPUTED_VALUE"""),1947.2)</f>
        <v>1947.2</v>
      </c>
      <c r="D187" s="1">
        <f ca="1">IFERROR(__xludf.DUMMYFUNCTION("""COMPUTED_VALUE"""),1920.3)</f>
        <v>1920.3</v>
      </c>
      <c r="E187" s="1">
        <f ca="1">IFERROR(__xludf.DUMMYFUNCTION("""COMPUTED_VALUE"""),1939.38)</f>
        <v>1939.38</v>
      </c>
      <c r="F187" s="1">
        <f ca="1">IFERROR(__xludf.DUMMYFUNCTION("""COMPUTED_VALUE"""),714148314)</f>
        <v>714148314</v>
      </c>
    </row>
    <row r="188" spans="1:6" ht="13" x14ac:dyDescent="0.15">
      <c r="A188" s="2">
        <f ca="1">IFERROR(__xludf.DUMMYFUNCTION("""COMPUTED_VALUE"""),42402.6666666666)</f>
        <v>42402.666666666599</v>
      </c>
      <c r="B188" s="1">
        <f ca="1">IFERROR(__xludf.DUMMYFUNCTION("""COMPUTED_VALUE"""),1935.26)</f>
        <v>1935.26</v>
      </c>
      <c r="C188" s="1">
        <f ca="1">IFERROR(__xludf.DUMMYFUNCTION("""COMPUTED_VALUE"""),1935.26)</f>
        <v>1935.26</v>
      </c>
      <c r="D188" s="1">
        <f ca="1">IFERROR(__xludf.DUMMYFUNCTION("""COMPUTED_VALUE"""),1897.29)</f>
        <v>1897.29</v>
      </c>
      <c r="E188" s="1">
        <f ca="1">IFERROR(__xludf.DUMMYFUNCTION("""COMPUTED_VALUE"""),1903.03)</f>
        <v>1903.03</v>
      </c>
      <c r="F188" s="1">
        <f ca="1">IFERROR(__xludf.DUMMYFUNCTION("""COMPUTED_VALUE"""),788015916)</f>
        <v>788015916</v>
      </c>
    </row>
    <row r="189" spans="1:6" ht="13" x14ac:dyDescent="0.15">
      <c r="A189" s="2">
        <f ca="1">IFERROR(__xludf.DUMMYFUNCTION("""COMPUTED_VALUE"""),42403.6666666666)</f>
        <v>42403.666666666599</v>
      </c>
      <c r="B189" s="1">
        <f ca="1">IFERROR(__xludf.DUMMYFUNCTION("""COMPUTED_VALUE"""),1907.07)</f>
        <v>1907.07</v>
      </c>
      <c r="C189" s="1">
        <f ca="1">IFERROR(__xludf.DUMMYFUNCTION("""COMPUTED_VALUE"""),1918.01)</f>
        <v>1918.01</v>
      </c>
      <c r="D189" s="1">
        <f ca="1">IFERROR(__xludf.DUMMYFUNCTION("""COMPUTED_VALUE"""),1872.23)</f>
        <v>1872.23</v>
      </c>
      <c r="E189" s="1">
        <f ca="1">IFERROR(__xludf.DUMMYFUNCTION("""COMPUTED_VALUE"""),1912.53)</f>
        <v>1912.53</v>
      </c>
      <c r="F189" s="1">
        <f ca="1">IFERROR(__xludf.DUMMYFUNCTION("""COMPUTED_VALUE"""),893685485)</f>
        <v>893685485</v>
      </c>
    </row>
    <row r="190" spans="1:6" ht="13" x14ac:dyDescent="0.15">
      <c r="A190" s="2">
        <f ca="1">IFERROR(__xludf.DUMMYFUNCTION("""COMPUTED_VALUE"""),42404.6666666666)</f>
        <v>42404.666666666599</v>
      </c>
      <c r="B190" s="1">
        <f ca="1">IFERROR(__xludf.DUMMYFUNCTION("""COMPUTED_VALUE"""),1911.67)</f>
        <v>1911.67</v>
      </c>
      <c r="C190" s="1">
        <f ca="1">IFERROR(__xludf.DUMMYFUNCTION("""COMPUTED_VALUE"""),1927.35)</f>
        <v>1927.35</v>
      </c>
      <c r="D190" s="1">
        <f ca="1">IFERROR(__xludf.DUMMYFUNCTION("""COMPUTED_VALUE"""),1900.52)</f>
        <v>1900.52</v>
      </c>
      <c r="E190" s="1">
        <f ca="1">IFERROR(__xludf.DUMMYFUNCTION("""COMPUTED_VALUE"""),1915.45)</f>
        <v>1915.45</v>
      </c>
      <c r="F190" s="1">
        <f ca="1">IFERROR(__xludf.DUMMYFUNCTION("""COMPUTED_VALUE"""),865531792)</f>
        <v>865531792</v>
      </c>
    </row>
    <row r="191" spans="1:6" ht="13" x14ac:dyDescent="0.15">
      <c r="A191" s="2">
        <f ca="1">IFERROR(__xludf.DUMMYFUNCTION("""COMPUTED_VALUE"""),42405.6666666666)</f>
        <v>42405.666666666599</v>
      </c>
      <c r="B191" s="1">
        <f ca="1">IFERROR(__xludf.DUMMYFUNCTION("""COMPUTED_VALUE"""),1913.07)</f>
        <v>1913.07</v>
      </c>
      <c r="C191" s="1">
        <f ca="1">IFERROR(__xludf.DUMMYFUNCTION("""COMPUTED_VALUE"""),1913.07)</f>
        <v>1913.07</v>
      </c>
      <c r="D191" s="1">
        <f ca="1">IFERROR(__xludf.DUMMYFUNCTION("""COMPUTED_VALUE"""),1872.65)</f>
        <v>1872.65</v>
      </c>
      <c r="E191" s="1">
        <f ca="1">IFERROR(__xludf.DUMMYFUNCTION("""COMPUTED_VALUE"""),1880.05)</f>
        <v>1880.05</v>
      </c>
      <c r="F191" s="1">
        <f ca="1">IFERROR(__xludf.DUMMYFUNCTION("""COMPUTED_VALUE"""),866331912)</f>
        <v>866331912</v>
      </c>
    </row>
    <row r="192" spans="1:6" ht="13" x14ac:dyDescent="0.15">
      <c r="A192" s="2">
        <f ca="1">IFERROR(__xludf.DUMMYFUNCTION("""COMPUTED_VALUE"""),42408.6666666666)</f>
        <v>42408.666666666599</v>
      </c>
      <c r="B192" s="1">
        <f ca="1">IFERROR(__xludf.DUMMYFUNCTION("""COMPUTED_VALUE"""),1873.25)</f>
        <v>1873.25</v>
      </c>
      <c r="C192" s="1">
        <f ca="1">IFERROR(__xludf.DUMMYFUNCTION("""COMPUTED_VALUE"""),1873.25)</f>
        <v>1873.25</v>
      </c>
      <c r="D192" s="1">
        <f ca="1">IFERROR(__xludf.DUMMYFUNCTION("""COMPUTED_VALUE"""),1828.46)</f>
        <v>1828.46</v>
      </c>
      <c r="E192" s="1">
        <f ca="1">IFERROR(__xludf.DUMMYFUNCTION("""COMPUTED_VALUE"""),1853.44)</f>
        <v>1853.44</v>
      </c>
      <c r="F192" s="1">
        <f ca="1">IFERROR(__xludf.DUMMYFUNCTION("""COMPUTED_VALUE"""),1012893978)</f>
        <v>1012893978</v>
      </c>
    </row>
    <row r="193" spans="1:6" ht="13" x14ac:dyDescent="0.15">
      <c r="A193" s="2">
        <f ca="1">IFERROR(__xludf.DUMMYFUNCTION("""COMPUTED_VALUE"""),42409.6666666666)</f>
        <v>42409.666666666599</v>
      </c>
      <c r="B193" s="1">
        <f ca="1">IFERROR(__xludf.DUMMYFUNCTION("""COMPUTED_VALUE"""),1848.46)</f>
        <v>1848.46</v>
      </c>
      <c r="C193" s="1">
        <f ca="1">IFERROR(__xludf.DUMMYFUNCTION("""COMPUTED_VALUE"""),1868.25)</f>
        <v>1868.25</v>
      </c>
      <c r="D193" s="1">
        <f ca="1">IFERROR(__xludf.DUMMYFUNCTION("""COMPUTED_VALUE"""),1834.94)</f>
        <v>1834.94</v>
      </c>
      <c r="E193" s="1">
        <f ca="1">IFERROR(__xludf.DUMMYFUNCTION("""COMPUTED_VALUE"""),1852.21)</f>
        <v>1852.21</v>
      </c>
      <c r="F193" s="1">
        <f ca="1">IFERROR(__xludf.DUMMYFUNCTION("""COMPUTED_VALUE"""),847335260)</f>
        <v>847335260</v>
      </c>
    </row>
    <row r="194" spans="1:6" ht="13" x14ac:dyDescent="0.15">
      <c r="A194" s="2">
        <f ca="1">IFERROR(__xludf.DUMMYFUNCTION("""COMPUTED_VALUE"""),42410.6666666666)</f>
        <v>42410.666666666599</v>
      </c>
      <c r="B194" s="1">
        <f ca="1">IFERROR(__xludf.DUMMYFUNCTION("""COMPUTED_VALUE"""),1857.1)</f>
        <v>1857.1</v>
      </c>
      <c r="C194" s="1">
        <f ca="1">IFERROR(__xludf.DUMMYFUNCTION("""COMPUTED_VALUE"""),1881.6)</f>
        <v>1881.6</v>
      </c>
      <c r="D194" s="1">
        <f ca="1">IFERROR(__xludf.DUMMYFUNCTION("""COMPUTED_VALUE"""),1850.32)</f>
        <v>1850.32</v>
      </c>
      <c r="E194" s="1">
        <f ca="1">IFERROR(__xludf.DUMMYFUNCTION("""COMPUTED_VALUE"""),1851.86)</f>
        <v>1851.86</v>
      </c>
      <c r="F194" s="1">
        <f ca="1">IFERROR(__xludf.DUMMYFUNCTION("""COMPUTED_VALUE"""),765063599)</f>
        <v>765063599</v>
      </c>
    </row>
    <row r="195" spans="1:6" ht="13" x14ac:dyDescent="0.15">
      <c r="A195" s="2">
        <f ca="1">IFERROR(__xludf.DUMMYFUNCTION("""COMPUTED_VALUE"""),42411.6666666666)</f>
        <v>42411.666666666599</v>
      </c>
      <c r="B195" s="1">
        <f ca="1">IFERROR(__xludf.DUMMYFUNCTION("""COMPUTED_VALUE"""),1847)</f>
        <v>1847</v>
      </c>
      <c r="C195" s="1">
        <f ca="1">IFERROR(__xludf.DUMMYFUNCTION("""COMPUTED_VALUE"""),1847)</f>
        <v>1847</v>
      </c>
      <c r="D195" s="1">
        <f ca="1">IFERROR(__xludf.DUMMYFUNCTION("""COMPUTED_VALUE"""),1810.1)</f>
        <v>1810.1</v>
      </c>
      <c r="E195" s="1">
        <f ca="1">IFERROR(__xludf.DUMMYFUNCTION("""COMPUTED_VALUE"""),1829.08)</f>
        <v>1829.08</v>
      </c>
      <c r="F195" s="1">
        <f ca="1">IFERROR(__xludf.DUMMYFUNCTION("""COMPUTED_VALUE"""),959312839)</f>
        <v>959312839</v>
      </c>
    </row>
    <row r="196" spans="1:6" ht="13" x14ac:dyDescent="0.15">
      <c r="A196" s="2">
        <f ca="1">IFERROR(__xludf.DUMMYFUNCTION("""COMPUTED_VALUE"""),42412.6666666666)</f>
        <v>42412.666666666599</v>
      </c>
      <c r="B196" s="1">
        <f ca="1">IFERROR(__xludf.DUMMYFUNCTION("""COMPUTED_VALUE"""),1833.4)</f>
        <v>1833.4</v>
      </c>
      <c r="C196" s="1">
        <f ca="1">IFERROR(__xludf.DUMMYFUNCTION("""COMPUTED_VALUE"""),1864.78)</f>
        <v>1864.78</v>
      </c>
      <c r="D196" s="1">
        <f ca="1">IFERROR(__xludf.DUMMYFUNCTION("""COMPUTED_VALUE"""),1833.4)</f>
        <v>1833.4</v>
      </c>
      <c r="E196" s="1">
        <f ca="1">IFERROR(__xludf.DUMMYFUNCTION("""COMPUTED_VALUE"""),1864.78)</f>
        <v>1864.78</v>
      </c>
      <c r="F196" s="1">
        <f ca="1">IFERROR(__xludf.DUMMYFUNCTION("""COMPUTED_VALUE"""),803669163)</f>
        <v>803669163</v>
      </c>
    </row>
    <row r="197" spans="1:6" ht="13" x14ac:dyDescent="0.15">
      <c r="A197" s="2">
        <f ca="1">IFERROR(__xludf.DUMMYFUNCTION("""COMPUTED_VALUE"""),42416.6666666666)</f>
        <v>42416.666666666599</v>
      </c>
      <c r="B197" s="1">
        <f ca="1">IFERROR(__xludf.DUMMYFUNCTION("""COMPUTED_VALUE"""),1871.44)</f>
        <v>1871.44</v>
      </c>
      <c r="C197" s="1">
        <f ca="1">IFERROR(__xludf.DUMMYFUNCTION("""COMPUTED_VALUE"""),1895.77)</f>
        <v>1895.77</v>
      </c>
      <c r="D197" s="1">
        <f ca="1">IFERROR(__xludf.DUMMYFUNCTION("""COMPUTED_VALUE"""),1871.44)</f>
        <v>1871.44</v>
      </c>
      <c r="E197" s="1">
        <f ca="1">IFERROR(__xludf.DUMMYFUNCTION("""COMPUTED_VALUE"""),1895.58)</f>
        <v>1895.58</v>
      </c>
      <c r="F197" s="1">
        <f ca="1">IFERROR(__xludf.DUMMYFUNCTION("""COMPUTED_VALUE"""),840931331)</f>
        <v>840931331</v>
      </c>
    </row>
    <row r="198" spans="1:6" ht="13" x14ac:dyDescent="0.15">
      <c r="A198" s="2">
        <f ca="1">IFERROR(__xludf.DUMMYFUNCTION("""COMPUTED_VALUE"""),42417.6666666666)</f>
        <v>42417.666666666599</v>
      </c>
      <c r="B198" s="1">
        <f ca="1">IFERROR(__xludf.DUMMYFUNCTION("""COMPUTED_VALUE"""),1898.8)</f>
        <v>1898.8</v>
      </c>
      <c r="C198" s="1">
        <f ca="1">IFERROR(__xludf.DUMMYFUNCTION("""COMPUTED_VALUE"""),1930.68)</f>
        <v>1930.68</v>
      </c>
      <c r="D198" s="1">
        <f ca="1">IFERROR(__xludf.DUMMYFUNCTION("""COMPUTED_VALUE"""),1898.8)</f>
        <v>1898.8</v>
      </c>
      <c r="E198" s="1">
        <f ca="1">IFERROR(__xludf.DUMMYFUNCTION("""COMPUTED_VALUE"""),1926.82)</f>
        <v>1926.82</v>
      </c>
      <c r="F198" s="1">
        <f ca="1">IFERROR(__xludf.DUMMYFUNCTION("""COMPUTED_VALUE"""),818658375)</f>
        <v>818658375</v>
      </c>
    </row>
    <row r="199" spans="1:6" ht="13" x14ac:dyDescent="0.15">
      <c r="A199" s="2">
        <f ca="1">IFERROR(__xludf.DUMMYFUNCTION("""COMPUTED_VALUE"""),42418.6666666666)</f>
        <v>42418.666666666599</v>
      </c>
      <c r="B199" s="1">
        <f ca="1">IFERROR(__xludf.DUMMYFUNCTION("""COMPUTED_VALUE"""),1927.57)</f>
        <v>1927.57</v>
      </c>
      <c r="C199" s="1">
        <f ca="1">IFERROR(__xludf.DUMMYFUNCTION("""COMPUTED_VALUE"""),1930)</f>
        <v>1930</v>
      </c>
      <c r="D199" s="1">
        <f ca="1">IFERROR(__xludf.DUMMYFUNCTION("""COMPUTED_VALUE"""),1915.09)</f>
        <v>1915.09</v>
      </c>
      <c r="E199" s="1">
        <f ca="1">IFERROR(__xludf.DUMMYFUNCTION("""COMPUTED_VALUE"""),1917.83)</f>
        <v>1917.83</v>
      </c>
      <c r="F199" s="1">
        <f ca="1">IFERROR(__xludf.DUMMYFUNCTION("""COMPUTED_VALUE"""),729872023)</f>
        <v>729872023</v>
      </c>
    </row>
    <row r="200" spans="1:6" ht="13" x14ac:dyDescent="0.15">
      <c r="A200" s="2">
        <f ca="1">IFERROR(__xludf.DUMMYFUNCTION("""COMPUTED_VALUE"""),42419.6666666666)</f>
        <v>42419.666666666599</v>
      </c>
      <c r="B200" s="1">
        <f ca="1">IFERROR(__xludf.DUMMYFUNCTION("""COMPUTED_VALUE"""),1916.74)</f>
        <v>1916.74</v>
      </c>
      <c r="C200" s="1">
        <f ca="1">IFERROR(__xludf.DUMMYFUNCTION("""COMPUTED_VALUE"""),1918.78)</f>
        <v>1918.78</v>
      </c>
      <c r="D200" s="1">
        <f ca="1">IFERROR(__xludf.DUMMYFUNCTION("""COMPUTED_VALUE"""),1902.17)</f>
        <v>1902.17</v>
      </c>
      <c r="E200" s="1">
        <f ca="1">IFERROR(__xludf.DUMMYFUNCTION("""COMPUTED_VALUE"""),1917.78)</f>
        <v>1917.78</v>
      </c>
      <c r="F200" s="1">
        <f ca="1">IFERROR(__xludf.DUMMYFUNCTION("""COMPUTED_VALUE"""),862747420)</f>
        <v>862747420</v>
      </c>
    </row>
    <row r="201" spans="1:6" ht="13" x14ac:dyDescent="0.15">
      <c r="A201" s="2">
        <f ca="1">IFERROR(__xludf.DUMMYFUNCTION("""COMPUTED_VALUE"""),42422.6666666666)</f>
        <v>42422.666666666599</v>
      </c>
      <c r="B201" s="1">
        <f ca="1">IFERROR(__xludf.DUMMYFUNCTION("""COMPUTED_VALUE"""),1924.44)</f>
        <v>1924.44</v>
      </c>
      <c r="C201" s="1">
        <f ca="1">IFERROR(__xludf.DUMMYFUNCTION("""COMPUTED_VALUE"""),1946.7)</f>
        <v>1946.7</v>
      </c>
      <c r="D201" s="1">
        <f ca="1">IFERROR(__xludf.DUMMYFUNCTION("""COMPUTED_VALUE"""),1924.44)</f>
        <v>1924.44</v>
      </c>
      <c r="E201" s="1">
        <f ca="1">IFERROR(__xludf.DUMMYFUNCTION("""COMPUTED_VALUE"""),1945.5)</f>
        <v>1945.5</v>
      </c>
      <c r="F201" s="1">
        <f ca="1">IFERROR(__xludf.DUMMYFUNCTION("""COMPUTED_VALUE"""),663513182)</f>
        <v>663513182</v>
      </c>
    </row>
    <row r="202" spans="1:6" ht="13" x14ac:dyDescent="0.15">
      <c r="A202" s="2">
        <f ca="1">IFERROR(__xludf.DUMMYFUNCTION("""COMPUTED_VALUE"""),42423.6666666666)</f>
        <v>42423.666666666599</v>
      </c>
      <c r="B202" s="1">
        <f ca="1">IFERROR(__xludf.DUMMYFUNCTION("""COMPUTED_VALUE"""),1942.38)</f>
        <v>1942.38</v>
      </c>
      <c r="C202" s="1">
        <f ca="1">IFERROR(__xludf.DUMMYFUNCTION("""COMPUTED_VALUE"""),1942.38)</f>
        <v>1942.38</v>
      </c>
      <c r="D202" s="1">
        <f ca="1">IFERROR(__xludf.DUMMYFUNCTION("""COMPUTED_VALUE"""),1919.44)</f>
        <v>1919.44</v>
      </c>
      <c r="E202" s="1">
        <f ca="1">IFERROR(__xludf.DUMMYFUNCTION("""COMPUTED_VALUE"""),1921.27)</f>
        <v>1921.27</v>
      </c>
      <c r="F202" s="1">
        <f ca="1">IFERROR(__xludf.DUMMYFUNCTION("""COMPUTED_VALUE"""),626779261)</f>
        <v>626779261</v>
      </c>
    </row>
    <row r="203" spans="1:6" ht="13" x14ac:dyDescent="0.15">
      <c r="A203" s="2">
        <f ca="1">IFERROR(__xludf.DUMMYFUNCTION("""COMPUTED_VALUE"""),42424.6666666666)</f>
        <v>42424.666666666599</v>
      </c>
      <c r="B203" s="1">
        <f ca="1">IFERROR(__xludf.DUMMYFUNCTION("""COMPUTED_VALUE"""),1917.56)</f>
        <v>1917.56</v>
      </c>
      <c r="C203" s="1">
        <f ca="1">IFERROR(__xludf.DUMMYFUNCTION("""COMPUTED_VALUE"""),1932.08)</f>
        <v>1932.08</v>
      </c>
      <c r="D203" s="1">
        <f ca="1">IFERROR(__xludf.DUMMYFUNCTION("""COMPUTED_VALUE"""),1891)</f>
        <v>1891</v>
      </c>
      <c r="E203" s="1">
        <f ca="1">IFERROR(__xludf.DUMMYFUNCTION("""COMPUTED_VALUE"""),1929.8)</f>
        <v>1929.8</v>
      </c>
      <c r="F203" s="1">
        <f ca="1">IFERROR(__xludf.DUMMYFUNCTION("""COMPUTED_VALUE"""),662291401)</f>
        <v>662291401</v>
      </c>
    </row>
    <row r="204" spans="1:6" ht="13" x14ac:dyDescent="0.15">
      <c r="A204" s="2">
        <f ca="1">IFERROR(__xludf.DUMMYFUNCTION("""COMPUTED_VALUE"""),42425.6666666666)</f>
        <v>42425.666666666599</v>
      </c>
      <c r="B204" s="1">
        <f ca="1">IFERROR(__xludf.DUMMYFUNCTION("""COMPUTED_VALUE"""),1931.87)</f>
        <v>1931.87</v>
      </c>
      <c r="C204" s="1">
        <f ca="1">IFERROR(__xludf.DUMMYFUNCTION("""COMPUTED_VALUE"""),1951.83)</f>
        <v>1951.83</v>
      </c>
      <c r="D204" s="1">
        <f ca="1">IFERROR(__xludf.DUMMYFUNCTION("""COMPUTED_VALUE"""),1925.41)</f>
        <v>1925.41</v>
      </c>
      <c r="E204" s="1">
        <f ca="1">IFERROR(__xludf.DUMMYFUNCTION("""COMPUTED_VALUE"""),1951.7)</f>
        <v>1951.7</v>
      </c>
      <c r="F204" s="1">
        <f ca="1">IFERROR(__xludf.DUMMYFUNCTION("""COMPUTED_VALUE"""),590047710)</f>
        <v>590047710</v>
      </c>
    </row>
    <row r="205" spans="1:6" ht="13" x14ac:dyDescent="0.15">
      <c r="A205" s="2">
        <f ca="1">IFERROR(__xludf.DUMMYFUNCTION("""COMPUTED_VALUE"""),42426.6666666666)</f>
        <v>42426.666666666599</v>
      </c>
      <c r="B205" s="1">
        <f ca="1">IFERROR(__xludf.DUMMYFUNCTION("""COMPUTED_VALUE"""),1954.95)</f>
        <v>1954.95</v>
      </c>
      <c r="C205" s="1">
        <f ca="1">IFERROR(__xludf.DUMMYFUNCTION("""COMPUTED_VALUE"""),1962.96)</f>
        <v>1962.96</v>
      </c>
      <c r="D205" s="1">
        <f ca="1">IFERROR(__xludf.DUMMYFUNCTION("""COMPUTED_VALUE"""),1945.78)</f>
        <v>1945.78</v>
      </c>
      <c r="E205" s="1">
        <f ca="1">IFERROR(__xludf.DUMMYFUNCTION("""COMPUTED_VALUE"""),1948.05)</f>
        <v>1948.05</v>
      </c>
      <c r="F205" s="1">
        <f ca="1">IFERROR(__xludf.DUMMYFUNCTION("""COMPUTED_VALUE"""),669969843)</f>
        <v>669969843</v>
      </c>
    </row>
    <row r="206" spans="1:6" ht="13" x14ac:dyDescent="0.15">
      <c r="A206" s="2">
        <f ca="1">IFERROR(__xludf.DUMMYFUNCTION("""COMPUTED_VALUE"""),42429.6666666666)</f>
        <v>42429.666666666599</v>
      </c>
      <c r="B206" s="1">
        <f ca="1">IFERROR(__xludf.DUMMYFUNCTION("""COMPUTED_VALUE"""),1947.13)</f>
        <v>1947.13</v>
      </c>
      <c r="C206" s="1">
        <f ca="1">IFERROR(__xludf.DUMMYFUNCTION("""COMPUTED_VALUE"""),1958.27)</f>
        <v>1958.27</v>
      </c>
      <c r="D206" s="1">
        <f ca="1">IFERROR(__xludf.DUMMYFUNCTION("""COMPUTED_VALUE"""),1931.81)</f>
        <v>1931.81</v>
      </c>
      <c r="E206" s="1">
        <f ca="1">IFERROR(__xludf.DUMMYFUNCTION("""COMPUTED_VALUE"""),1932.23)</f>
        <v>1932.23</v>
      </c>
      <c r="F206" s="1">
        <f ca="1">IFERROR(__xludf.DUMMYFUNCTION("""COMPUTED_VALUE"""),849487499)</f>
        <v>849487499</v>
      </c>
    </row>
    <row r="207" spans="1:6" ht="13" x14ac:dyDescent="0.15">
      <c r="A207" s="2">
        <f ca="1">IFERROR(__xludf.DUMMYFUNCTION("""COMPUTED_VALUE"""),42430.6666666666)</f>
        <v>42430.666666666599</v>
      </c>
      <c r="B207" s="1">
        <f ca="1">IFERROR(__xludf.DUMMYFUNCTION("""COMPUTED_VALUE"""),1937.09)</f>
        <v>1937.09</v>
      </c>
      <c r="C207" s="1">
        <f ca="1">IFERROR(__xludf.DUMMYFUNCTION("""COMPUTED_VALUE"""),1978.35)</f>
        <v>1978.35</v>
      </c>
      <c r="D207" s="1">
        <f ca="1">IFERROR(__xludf.DUMMYFUNCTION("""COMPUTED_VALUE"""),1937.09)</f>
        <v>1937.09</v>
      </c>
      <c r="E207" s="1">
        <f ca="1">IFERROR(__xludf.DUMMYFUNCTION("""COMPUTED_VALUE"""),1978.35)</f>
        <v>1978.35</v>
      </c>
      <c r="F207" s="1">
        <f ca="1">IFERROR(__xludf.DUMMYFUNCTION("""COMPUTED_VALUE"""),742687074)</f>
        <v>742687074</v>
      </c>
    </row>
    <row r="208" spans="1:6" ht="13" x14ac:dyDescent="0.15">
      <c r="A208" s="2">
        <f ca="1">IFERROR(__xludf.DUMMYFUNCTION("""COMPUTED_VALUE"""),42431.6666666666)</f>
        <v>42431.666666666599</v>
      </c>
      <c r="B208" s="1">
        <f ca="1">IFERROR(__xludf.DUMMYFUNCTION("""COMPUTED_VALUE"""),1976.6)</f>
        <v>1976.6</v>
      </c>
      <c r="C208" s="1">
        <f ca="1">IFERROR(__xludf.DUMMYFUNCTION("""COMPUTED_VALUE"""),1986.51)</f>
        <v>1986.51</v>
      </c>
      <c r="D208" s="1">
        <f ca="1">IFERROR(__xludf.DUMMYFUNCTION("""COMPUTED_VALUE"""),1968.8)</f>
        <v>1968.8</v>
      </c>
      <c r="E208" s="1">
        <f ca="1">IFERROR(__xludf.DUMMYFUNCTION("""COMPUTED_VALUE"""),1986.45)</f>
        <v>1986.45</v>
      </c>
      <c r="F208" s="1">
        <f ca="1">IFERROR(__xludf.DUMMYFUNCTION("""COMPUTED_VALUE"""),680819457)</f>
        <v>680819457</v>
      </c>
    </row>
    <row r="209" spans="1:6" ht="13" x14ac:dyDescent="0.15">
      <c r="A209" s="2">
        <f ca="1">IFERROR(__xludf.DUMMYFUNCTION("""COMPUTED_VALUE"""),42432.6666666666)</f>
        <v>42432.666666666599</v>
      </c>
      <c r="B209" s="1">
        <f ca="1">IFERROR(__xludf.DUMMYFUNCTION("""COMPUTED_VALUE"""),1985.6)</f>
        <v>1985.6</v>
      </c>
      <c r="C209" s="1">
        <f ca="1">IFERROR(__xludf.DUMMYFUNCTION("""COMPUTED_VALUE"""),1993.69)</f>
        <v>1993.69</v>
      </c>
      <c r="D209" s="1">
        <f ca="1">IFERROR(__xludf.DUMMYFUNCTION("""COMPUTED_VALUE"""),1977.37)</f>
        <v>1977.37</v>
      </c>
      <c r="E209" s="1">
        <f ca="1">IFERROR(__xludf.DUMMYFUNCTION("""COMPUTED_VALUE"""),1993.4)</f>
        <v>1993.4</v>
      </c>
      <c r="F209" s="1">
        <f ca="1">IFERROR(__xludf.DUMMYFUNCTION("""COMPUTED_VALUE"""),667829915)</f>
        <v>667829915</v>
      </c>
    </row>
    <row r="210" spans="1:6" ht="13" x14ac:dyDescent="0.15">
      <c r="A210" s="2">
        <f ca="1">IFERROR(__xludf.DUMMYFUNCTION("""COMPUTED_VALUE"""),42433.6666666666)</f>
        <v>42433.666666666599</v>
      </c>
      <c r="B210" s="1">
        <f ca="1">IFERROR(__xludf.DUMMYFUNCTION("""COMPUTED_VALUE"""),1994.01)</f>
        <v>1994.01</v>
      </c>
      <c r="C210" s="1">
        <f ca="1">IFERROR(__xludf.DUMMYFUNCTION("""COMPUTED_VALUE"""),2009.13)</f>
        <v>2009.13</v>
      </c>
      <c r="D210" s="1">
        <f ca="1">IFERROR(__xludf.DUMMYFUNCTION("""COMPUTED_VALUE"""),1986.77)</f>
        <v>1986.77</v>
      </c>
      <c r="E210" s="1">
        <f ca="1">IFERROR(__xludf.DUMMYFUNCTION("""COMPUTED_VALUE"""),1999.99)</f>
        <v>1999.99</v>
      </c>
      <c r="F210" s="1">
        <f ca="1">IFERROR(__xludf.DUMMYFUNCTION("""COMPUTED_VALUE"""),782584654)</f>
        <v>782584654</v>
      </c>
    </row>
    <row r="211" spans="1:6" ht="13" x14ac:dyDescent="0.15">
      <c r="A211" s="2">
        <f ca="1">IFERROR(__xludf.DUMMYFUNCTION("""COMPUTED_VALUE"""),42436.6666666666)</f>
        <v>42436.666666666599</v>
      </c>
      <c r="B211" s="1">
        <f ca="1">IFERROR(__xludf.DUMMYFUNCTION("""COMPUTED_VALUE"""),1996.11)</f>
        <v>1996.11</v>
      </c>
      <c r="C211" s="1">
        <f ca="1">IFERROR(__xludf.DUMMYFUNCTION("""COMPUTED_VALUE"""),2006.12)</f>
        <v>2006.12</v>
      </c>
      <c r="D211" s="1">
        <f ca="1">IFERROR(__xludf.DUMMYFUNCTION("""COMPUTED_VALUE"""),1989.38)</f>
        <v>1989.38</v>
      </c>
      <c r="E211" s="1">
        <f ca="1">IFERROR(__xludf.DUMMYFUNCTION("""COMPUTED_VALUE"""),2001.76)</f>
        <v>2001.76</v>
      </c>
      <c r="F211" s="1">
        <f ca="1">IFERROR(__xludf.DUMMYFUNCTION("""COMPUTED_VALUE"""),654455151)</f>
        <v>654455151</v>
      </c>
    </row>
    <row r="212" spans="1:6" ht="13" x14ac:dyDescent="0.15">
      <c r="A212" s="2">
        <f ca="1">IFERROR(__xludf.DUMMYFUNCTION("""COMPUTED_VALUE"""),42437.6666666666)</f>
        <v>42437.666666666599</v>
      </c>
      <c r="B212" s="1">
        <f ca="1">IFERROR(__xludf.DUMMYFUNCTION("""COMPUTED_VALUE"""),1996.88)</f>
        <v>1996.88</v>
      </c>
      <c r="C212" s="1">
        <f ca="1">IFERROR(__xludf.DUMMYFUNCTION("""COMPUTED_VALUE"""),1996.88)</f>
        <v>1996.88</v>
      </c>
      <c r="D212" s="1">
        <f ca="1">IFERROR(__xludf.DUMMYFUNCTION("""COMPUTED_VALUE"""),1977.43)</f>
        <v>1977.43</v>
      </c>
      <c r="E212" s="1">
        <f ca="1">IFERROR(__xludf.DUMMYFUNCTION("""COMPUTED_VALUE"""),1979.26)</f>
        <v>1979.26</v>
      </c>
      <c r="F212" s="1">
        <f ca="1">IFERROR(__xludf.DUMMYFUNCTION("""COMPUTED_VALUE"""),699806748)</f>
        <v>699806748</v>
      </c>
    </row>
    <row r="213" spans="1:6" ht="13" x14ac:dyDescent="0.15">
      <c r="A213" s="2">
        <f ca="1">IFERROR(__xludf.DUMMYFUNCTION("""COMPUTED_VALUE"""),42438.6666666666)</f>
        <v>42438.666666666599</v>
      </c>
      <c r="B213" s="1">
        <f ca="1">IFERROR(__xludf.DUMMYFUNCTION("""COMPUTED_VALUE"""),1981.44)</f>
        <v>1981.44</v>
      </c>
      <c r="C213" s="1">
        <f ca="1">IFERROR(__xludf.DUMMYFUNCTION("""COMPUTED_VALUE"""),1992.69)</f>
        <v>1992.69</v>
      </c>
      <c r="D213" s="1">
        <f ca="1">IFERROR(__xludf.DUMMYFUNCTION("""COMPUTED_VALUE"""),1979.84)</f>
        <v>1979.84</v>
      </c>
      <c r="E213" s="1">
        <f ca="1">IFERROR(__xludf.DUMMYFUNCTION("""COMPUTED_VALUE"""),1989.26)</f>
        <v>1989.26</v>
      </c>
      <c r="F213" s="1">
        <f ca="1">IFERROR(__xludf.DUMMYFUNCTION("""COMPUTED_VALUE"""),608081877)</f>
        <v>608081877</v>
      </c>
    </row>
    <row r="214" spans="1:6" ht="13" x14ac:dyDescent="0.15">
      <c r="A214" s="2">
        <f ca="1">IFERROR(__xludf.DUMMYFUNCTION("""COMPUTED_VALUE"""),42439.6666666666)</f>
        <v>42439.666666666599</v>
      </c>
      <c r="B214" s="1">
        <f ca="1">IFERROR(__xludf.DUMMYFUNCTION("""COMPUTED_VALUE"""),1990.97)</f>
        <v>1990.97</v>
      </c>
      <c r="C214" s="1">
        <f ca="1">IFERROR(__xludf.DUMMYFUNCTION("""COMPUTED_VALUE"""),2005.08)</f>
        <v>2005.08</v>
      </c>
      <c r="D214" s="1">
        <f ca="1">IFERROR(__xludf.DUMMYFUNCTION("""COMPUTED_VALUE"""),1969.25)</f>
        <v>1969.25</v>
      </c>
      <c r="E214" s="1">
        <f ca="1">IFERROR(__xludf.DUMMYFUNCTION("""COMPUTED_VALUE"""),1989.57)</f>
        <v>1989.57</v>
      </c>
      <c r="F214" s="1">
        <f ca="1">IFERROR(__xludf.DUMMYFUNCTION("""COMPUTED_VALUE"""),665444879)</f>
        <v>665444879</v>
      </c>
    </row>
    <row r="215" spans="1:6" ht="13" x14ac:dyDescent="0.15">
      <c r="A215" s="2">
        <f ca="1">IFERROR(__xludf.DUMMYFUNCTION("""COMPUTED_VALUE"""),42440.6666666666)</f>
        <v>42440.666666666599</v>
      </c>
      <c r="B215" s="1">
        <f ca="1">IFERROR(__xludf.DUMMYFUNCTION("""COMPUTED_VALUE"""),1994.71)</f>
        <v>1994.71</v>
      </c>
      <c r="C215" s="1">
        <f ca="1">IFERROR(__xludf.DUMMYFUNCTION("""COMPUTED_VALUE"""),2022.37)</f>
        <v>2022.37</v>
      </c>
      <c r="D215" s="1">
        <f ca="1">IFERROR(__xludf.DUMMYFUNCTION("""COMPUTED_VALUE"""),1994.71)</f>
        <v>1994.71</v>
      </c>
      <c r="E215" s="1">
        <f ca="1">IFERROR(__xludf.DUMMYFUNCTION("""COMPUTED_VALUE"""),2022.19)</f>
        <v>2022.19</v>
      </c>
      <c r="F215" s="1">
        <f ca="1">IFERROR(__xludf.DUMMYFUNCTION("""COMPUTED_VALUE"""),641712853)</f>
        <v>641712853</v>
      </c>
    </row>
    <row r="216" spans="1:6" ht="13" x14ac:dyDescent="0.15">
      <c r="A216" s="2">
        <f ca="1">IFERROR(__xludf.DUMMYFUNCTION("""COMPUTED_VALUE"""),42443.6666666666)</f>
        <v>42443.666666666599</v>
      </c>
      <c r="B216" s="1">
        <f ca="1">IFERROR(__xludf.DUMMYFUNCTION("""COMPUTED_VALUE"""),2019.27)</f>
        <v>2019.27</v>
      </c>
      <c r="C216" s="1">
        <f ca="1">IFERROR(__xludf.DUMMYFUNCTION("""COMPUTED_VALUE"""),2024.57)</f>
        <v>2024.57</v>
      </c>
      <c r="D216" s="1">
        <f ca="1">IFERROR(__xludf.DUMMYFUNCTION("""COMPUTED_VALUE"""),2012.05)</f>
        <v>2012.05</v>
      </c>
      <c r="E216" s="1">
        <f ca="1">IFERROR(__xludf.DUMMYFUNCTION("""COMPUTED_VALUE"""),2019.64)</f>
        <v>2019.64</v>
      </c>
      <c r="F216" s="1">
        <f ca="1">IFERROR(__xludf.DUMMYFUNCTION("""COMPUTED_VALUE"""),546841030)</f>
        <v>546841030</v>
      </c>
    </row>
    <row r="217" spans="1:6" ht="13" x14ac:dyDescent="0.15">
      <c r="A217" s="2">
        <f ca="1">IFERROR(__xludf.DUMMYFUNCTION("""COMPUTED_VALUE"""),42444.6666666666)</f>
        <v>42444.666666666599</v>
      </c>
      <c r="B217" s="1">
        <f ca="1">IFERROR(__xludf.DUMMYFUNCTION("""COMPUTED_VALUE"""),2015.27)</f>
        <v>2015.27</v>
      </c>
      <c r="C217" s="1">
        <f ca="1">IFERROR(__xludf.DUMMYFUNCTION("""COMPUTED_VALUE"""),2015.94)</f>
        <v>2015.94</v>
      </c>
      <c r="D217" s="1">
        <f ca="1">IFERROR(__xludf.DUMMYFUNCTION("""COMPUTED_VALUE"""),2005.23)</f>
        <v>2005.23</v>
      </c>
      <c r="E217" s="1">
        <f ca="1">IFERROR(__xludf.DUMMYFUNCTION("""COMPUTED_VALUE"""),2015.93)</f>
        <v>2015.93</v>
      </c>
      <c r="F217" s="1">
        <f ca="1">IFERROR(__xludf.DUMMYFUNCTION("""COMPUTED_VALUE"""),529503338)</f>
        <v>529503338</v>
      </c>
    </row>
    <row r="218" spans="1:6" ht="13" x14ac:dyDescent="0.15">
      <c r="A218" s="2">
        <f ca="1">IFERROR(__xludf.DUMMYFUNCTION("""COMPUTED_VALUE"""),42445.6666666666)</f>
        <v>42445.666666666599</v>
      </c>
      <c r="B218" s="1">
        <f ca="1">IFERROR(__xludf.DUMMYFUNCTION("""COMPUTED_VALUE"""),2014.24)</f>
        <v>2014.24</v>
      </c>
      <c r="C218" s="1">
        <f ca="1">IFERROR(__xludf.DUMMYFUNCTION("""COMPUTED_VALUE"""),2032.02)</f>
        <v>2032.02</v>
      </c>
      <c r="D218" s="1">
        <f ca="1">IFERROR(__xludf.DUMMYFUNCTION("""COMPUTED_VALUE"""),2010.04)</f>
        <v>2010.04</v>
      </c>
      <c r="E218" s="1">
        <f ca="1">IFERROR(__xludf.DUMMYFUNCTION("""COMPUTED_VALUE"""),2027.22)</f>
        <v>2027.22</v>
      </c>
      <c r="F218" s="1">
        <f ca="1">IFERROR(__xludf.DUMMYFUNCTION("""COMPUTED_VALUE"""),617671853)</f>
        <v>617671853</v>
      </c>
    </row>
    <row r="219" spans="1:6" ht="13" x14ac:dyDescent="0.15">
      <c r="A219" s="2">
        <f ca="1">IFERROR(__xludf.DUMMYFUNCTION("""COMPUTED_VALUE"""),42446.6666666666)</f>
        <v>42446.666666666599</v>
      </c>
      <c r="B219" s="1">
        <f ca="1">IFERROR(__xludf.DUMMYFUNCTION("""COMPUTED_VALUE"""),2026.9)</f>
        <v>2026.9</v>
      </c>
      <c r="C219" s="1">
        <f ca="1">IFERROR(__xludf.DUMMYFUNCTION("""COMPUTED_VALUE"""),2046.24)</f>
        <v>2046.24</v>
      </c>
      <c r="D219" s="1">
        <f ca="1">IFERROR(__xludf.DUMMYFUNCTION("""COMPUTED_VALUE"""),2022.16)</f>
        <v>2022.16</v>
      </c>
      <c r="E219" s="1">
        <f ca="1">IFERROR(__xludf.DUMMYFUNCTION("""COMPUTED_VALUE"""),2040.59)</f>
        <v>2040.59</v>
      </c>
      <c r="F219" s="1">
        <f ca="1">IFERROR(__xludf.DUMMYFUNCTION("""COMPUTED_VALUE"""),661763816)</f>
        <v>661763816</v>
      </c>
    </row>
    <row r="220" spans="1:6" ht="13" x14ac:dyDescent="0.15">
      <c r="A220" s="2">
        <f ca="1">IFERROR(__xludf.DUMMYFUNCTION("""COMPUTED_VALUE"""),42447.6666666666)</f>
        <v>42447.666666666599</v>
      </c>
      <c r="B220" s="1">
        <f ca="1">IFERROR(__xludf.DUMMYFUNCTION("""COMPUTED_VALUE"""),2041.16)</f>
        <v>2041.16</v>
      </c>
      <c r="C220" s="1">
        <f ca="1">IFERROR(__xludf.DUMMYFUNCTION("""COMPUTED_VALUE"""),2052.36)</f>
        <v>2052.36</v>
      </c>
      <c r="D220" s="1">
        <f ca="1">IFERROR(__xludf.DUMMYFUNCTION("""COMPUTED_VALUE"""),2041.16)</f>
        <v>2041.16</v>
      </c>
      <c r="E220" s="1">
        <f ca="1">IFERROR(__xludf.DUMMYFUNCTION("""COMPUTED_VALUE"""),2049.58)</f>
        <v>2049.58</v>
      </c>
      <c r="F220" s="1">
        <f ca="1">IFERROR(__xludf.DUMMYFUNCTION("""COMPUTED_VALUE"""),669416338)</f>
        <v>669416338</v>
      </c>
    </row>
    <row r="221" spans="1:6" ht="13" x14ac:dyDescent="0.15">
      <c r="A221" s="2">
        <f ca="1">IFERROR(__xludf.DUMMYFUNCTION("""COMPUTED_VALUE"""),42450.6666666666)</f>
        <v>42450.666666666599</v>
      </c>
      <c r="B221" s="1">
        <f ca="1">IFERROR(__xludf.DUMMYFUNCTION("""COMPUTED_VALUE"""),2047.88)</f>
        <v>2047.88</v>
      </c>
      <c r="C221" s="1">
        <f ca="1">IFERROR(__xludf.DUMMYFUNCTION("""COMPUTED_VALUE"""),2053.91)</f>
        <v>2053.91</v>
      </c>
      <c r="D221" s="1">
        <f ca="1">IFERROR(__xludf.DUMMYFUNCTION("""COMPUTED_VALUE"""),2043.14)</f>
        <v>2043.14</v>
      </c>
      <c r="E221" s="1">
        <f ca="1">IFERROR(__xludf.DUMMYFUNCTION("""COMPUTED_VALUE"""),2051.6)</f>
        <v>2051.6</v>
      </c>
      <c r="F221" s="1">
        <f ca="1">IFERROR(__xludf.DUMMYFUNCTION("""COMPUTED_VALUE"""),535577137)</f>
        <v>535577137</v>
      </c>
    </row>
    <row r="222" spans="1:6" ht="13" x14ac:dyDescent="0.15">
      <c r="A222" s="2">
        <f ca="1">IFERROR(__xludf.DUMMYFUNCTION("""COMPUTED_VALUE"""),42451.6666666666)</f>
        <v>42451.666666666599</v>
      </c>
      <c r="B222" s="1">
        <f ca="1">IFERROR(__xludf.DUMMYFUNCTION("""COMPUTED_VALUE"""),2048.64)</f>
        <v>2048.64</v>
      </c>
      <c r="C222" s="1">
        <f ca="1">IFERROR(__xludf.DUMMYFUNCTION("""COMPUTED_VALUE"""),2056.6)</f>
        <v>2056.6</v>
      </c>
      <c r="D222" s="1">
        <f ca="1">IFERROR(__xludf.DUMMYFUNCTION("""COMPUTED_VALUE"""),2040.57)</f>
        <v>2040.57</v>
      </c>
      <c r="E222" s="1">
        <f ca="1">IFERROR(__xludf.DUMMYFUNCTION("""COMPUTED_VALUE"""),2049.8)</f>
        <v>2049.8000000000002</v>
      </c>
      <c r="F222" s="1">
        <f ca="1">IFERROR(__xludf.DUMMYFUNCTION("""COMPUTED_VALUE"""),555485645)</f>
        <v>555485645</v>
      </c>
    </row>
    <row r="223" spans="1:6" ht="13" x14ac:dyDescent="0.15">
      <c r="A223" s="2">
        <f ca="1">IFERROR(__xludf.DUMMYFUNCTION("""COMPUTED_VALUE"""),42452.6666666666)</f>
        <v>42452.666666666599</v>
      </c>
      <c r="B223" s="1">
        <f ca="1">IFERROR(__xludf.DUMMYFUNCTION("""COMPUTED_VALUE"""),2048.55)</f>
        <v>2048.5500000000002</v>
      </c>
      <c r="C223" s="1">
        <f ca="1">IFERROR(__xludf.DUMMYFUNCTION("""COMPUTED_VALUE"""),2048.55)</f>
        <v>2048.5500000000002</v>
      </c>
      <c r="D223" s="1">
        <f ca="1">IFERROR(__xludf.DUMMYFUNCTION("""COMPUTED_VALUE"""),2034.86)</f>
        <v>2034.86</v>
      </c>
      <c r="E223" s="1">
        <f ca="1">IFERROR(__xludf.DUMMYFUNCTION("""COMPUTED_VALUE"""),2036.71)</f>
        <v>2036.71</v>
      </c>
      <c r="F223" s="1">
        <f ca="1">IFERROR(__xludf.DUMMYFUNCTION("""COMPUTED_VALUE"""),542134056)</f>
        <v>542134056</v>
      </c>
    </row>
    <row r="224" spans="1:6" ht="13" x14ac:dyDescent="0.15">
      <c r="A224" s="2">
        <f ca="1">IFERROR(__xludf.DUMMYFUNCTION("""COMPUTED_VALUE"""),42453.6666666666)</f>
        <v>42453.666666666599</v>
      </c>
      <c r="B224" s="1">
        <f ca="1">IFERROR(__xludf.DUMMYFUNCTION("""COMPUTED_VALUE"""),2032.48)</f>
        <v>2032.48</v>
      </c>
      <c r="C224" s="1">
        <f ca="1">IFERROR(__xludf.DUMMYFUNCTION("""COMPUTED_VALUE"""),2036.04)</f>
        <v>2036.04</v>
      </c>
      <c r="D224" s="1">
        <f ca="1">IFERROR(__xludf.DUMMYFUNCTION("""COMPUTED_VALUE"""),2022.49)</f>
        <v>2022.49</v>
      </c>
      <c r="E224" s="1">
        <f ca="1">IFERROR(__xludf.DUMMYFUNCTION("""COMPUTED_VALUE"""),2035.94)</f>
        <v>2035.94</v>
      </c>
      <c r="F224" s="1">
        <f ca="1">IFERROR(__xludf.DUMMYFUNCTION("""COMPUTED_VALUE"""),600131213)</f>
        <v>600131213</v>
      </c>
    </row>
    <row r="225" spans="1:6" ht="13" x14ac:dyDescent="0.15">
      <c r="A225" s="2">
        <f ca="1">IFERROR(__xludf.DUMMYFUNCTION("""COMPUTED_VALUE"""),42457.6666666666)</f>
        <v>42457.666666666599</v>
      </c>
      <c r="B225" s="1">
        <f ca="1">IFERROR(__xludf.DUMMYFUNCTION("""COMPUTED_VALUE"""),2037.89)</f>
        <v>2037.89</v>
      </c>
      <c r="C225" s="1">
        <f ca="1">IFERROR(__xludf.DUMMYFUNCTION("""COMPUTED_VALUE"""),2042.67)</f>
        <v>2042.67</v>
      </c>
      <c r="D225" s="1">
        <f ca="1">IFERROR(__xludf.DUMMYFUNCTION("""COMPUTED_VALUE"""),2031.96)</f>
        <v>2031.96</v>
      </c>
      <c r="E225" s="1">
        <f ca="1">IFERROR(__xludf.DUMMYFUNCTION("""COMPUTED_VALUE"""),2037.05)</f>
        <v>2037.05</v>
      </c>
      <c r="F225" s="1">
        <f ca="1">IFERROR(__xludf.DUMMYFUNCTION("""COMPUTED_VALUE"""),460627846)</f>
        <v>460627846</v>
      </c>
    </row>
    <row r="226" spans="1:6" ht="13" x14ac:dyDescent="0.15">
      <c r="A226" s="2">
        <f ca="1">IFERROR(__xludf.DUMMYFUNCTION("""COMPUTED_VALUE"""),42458.6666666666)</f>
        <v>42458.666666666599</v>
      </c>
      <c r="B226" s="1">
        <f ca="1">IFERROR(__xludf.DUMMYFUNCTION("""COMPUTED_VALUE"""),2035.75)</f>
        <v>2035.75</v>
      </c>
      <c r="C226" s="1">
        <f ca="1">IFERROR(__xludf.DUMMYFUNCTION("""COMPUTED_VALUE"""),2055.91)</f>
        <v>2055.91</v>
      </c>
      <c r="D226" s="1">
        <f ca="1">IFERROR(__xludf.DUMMYFUNCTION("""COMPUTED_VALUE"""),2028.31)</f>
        <v>2028.31</v>
      </c>
      <c r="E226" s="1">
        <f ca="1">IFERROR(__xludf.DUMMYFUNCTION("""COMPUTED_VALUE"""),2055.01)</f>
        <v>2055.0100000000002</v>
      </c>
      <c r="F226" s="1">
        <f ca="1">IFERROR(__xludf.DUMMYFUNCTION("""COMPUTED_VALUE"""),571883048)</f>
        <v>571883048</v>
      </c>
    </row>
    <row r="227" spans="1:6" ht="13" x14ac:dyDescent="0.15">
      <c r="A227" s="2">
        <f ca="1">IFERROR(__xludf.DUMMYFUNCTION("""COMPUTED_VALUE"""),42459.6666666666)</f>
        <v>42459.666666666599</v>
      </c>
      <c r="B227" s="1">
        <f ca="1">IFERROR(__xludf.DUMMYFUNCTION("""COMPUTED_VALUE"""),2058.27)</f>
        <v>2058.27</v>
      </c>
      <c r="C227" s="1">
        <f ca="1">IFERROR(__xludf.DUMMYFUNCTION("""COMPUTED_VALUE"""),2072.21)</f>
        <v>2072.21</v>
      </c>
      <c r="D227" s="1">
        <f ca="1">IFERROR(__xludf.DUMMYFUNCTION("""COMPUTED_VALUE"""),2058.27)</f>
        <v>2058.27</v>
      </c>
      <c r="E227" s="1">
        <f ca="1">IFERROR(__xludf.DUMMYFUNCTION("""COMPUTED_VALUE"""),2063.95)</f>
        <v>2063.9499999999998</v>
      </c>
      <c r="F227" s="1">
        <f ca="1">IFERROR(__xludf.DUMMYFUNCTION("""COMPUTED_VALUE"""),511410521)</f>
        <v>511410521</v>
      </c>
    </row>
    <row r="228" spans="1:6" ht="13" x14ac:dyDescent="0.15">
      <c r="A228" s="2">
        <f ca="1">IFERROR(__xludf.DUMMYFUNCTION("""COMPUTED_VALUE"""),42460.6666666666)</f>
        <v>42460.666666666599</v>
      </c>
      <c r="B228" s="1">
        <f ca="1">IFERROR(__xludf.DUMMYFUNCTION("""COMPUTED_VALUE"""),2063.77)</f>
        <v>2063.77</v>
      </c>
      <c r="C228" s="1">
        <f ca="1">IFERROR(__xludf.DUMMYFUNCTION("""COMPUTED_VALUE"""),2067.92)</f>
        <v>2067.92</v>
      </c>
      <c r="D228" s="1">
        <f ca="1">IFERROR(__xludf.DUMMYFUNCTION("""COMPUTED_VALUE"""),2057.46)</f>
        <v>2057.46</v>
      </c>
      <c r="E228" s="1">
        <f ca="1">IFERROR(__xludf.DUMMYFUNCTION("""COMPUTED_VALUE"""),2059.74)</f>
        <v>2059.7399999999998</v>
      </c>
      <c r="F228" s="1">
        <f ca="1">IFERROR(__xludf.DUMMYFUNCTION("""COMPUTED_VALUE"""),636510226)</f>
        <v>636510226</v>
      </c>
    </row>
    <row r="229" spans="1:6" ht="13" x14ac:dyDescent="0.15">
      <c r="A229" s="2">
        <f ca="1">IFERROR(__xludf.DUMMYFUNCTION("""COMPUTED_VALUE"""),42461.6666666666)</f>
        <v>42461.666666666599</v>
      </c>
      <c r="B229" s="1">
        <f ca="1">IFERROR(__xludf.DUMMYFUNCTION("""COMPUTED_VALUE"""),2056.62)</f>
        <v>2056.62</v>
      </c>
      <c r="C229" s="1">
        <f ca="1">IFERROR(__xludf.DUMMYFUNCTION("""COMPUTED_VALUE"""),2075.07)</f>
        <v>2075.0700000000002</v>
      </c>
      <c r="D229" s="1">
        <f ca="1">IFERROR(__xludf.DUMMYFUNCTION("""COMPUTED_VALUE"""),2043.98)</f>
        <v>2043.98</v>
      </c>
      <c r="E229" s="1">
        <f ca="1">IFERROR(__xludf.DUMMYFUNCTION("""COMPUTED_VALUE"""),2072.78)</f>
        <v>2072.7800000000002</v>
      </c>
      <c r="F229" s="1">
        <f ca="1">IFERROR(__xludf.DUMMYFUNCTION("""COMPUTED_VALUE"""),655021615)</f>
        <v>655021615</v>
      </c>
    </row>
    <row r="230" spans="1:6" ht="13" x14ac:dyDescent="0.15">
      <c r="A230" s="2">
        <f ca="1">IFERROR(__xludf.DUMMYFUNCTION("""COMPUTED_VALUE"""),42464.6666666666)</f>
        <v>42464.666666666599</v>
      </c>
      <c r="B230" s="1">
        <f ca="1">IFERROR(__xludf.DUMMYFUNCTION("""COMPUTED_VALUE"""),2073.19)</f>
        <v>2073.19</v>
      </c>
      <c r="C230" s="1">
        <f ca="1">IFERROR(__xludf.DUMMYFUNCTION("""COMPUTED_VALUE"""),2074.02)</f>
        <v>2074.02</v>
      </c>
      <c r="D230" s="1">
        <f ca="1">IFERROR(__xludf.DUMMYFUNCTION("""COMPUTED_VALUE"""),2062.57)</f>
        <v>2062.5700000000002</v>
      </c>
      <c r="E230" s="1">
        <f ca="1">IFERROR(__xludf.DUMMYFUNCTION("""COMPUTED_VALUE"""),2066.13)</f>
        <v>2066.13</v>
      </c>
      <c r="F230" s="1">
        <f ca="1">IFERROR(__xludf.DUMMYFUNCTION("""COMPUTED_VALUE"""),532705295)</f>
        <v>532705295</v>
      </c>
    </row>
    <row r="231" spans="1:6" ht="13" x14ac:dyDescent="0.15">
      <c r="A231" s="2">
        <f ca="1">IFERROR(__xludf.DUMMYFUNCTION("""COMPUTED_VALUE"""),42465.6666666666)</f>
        <v>42465.666666666599</v>
      </c>
      <c r="B231" s="1">
        <f ca="1">IFERROR(__xludf.DUMMYFUNCTION("""COMPUTED_VALUE"""),2062.5)</f>
        <v>2062.5</v>
      </c>
      <c r="C231" s="1">
        <f ca="1">IFERROR(__xludf.DUMMYFUNCTION("""COMPUTED_VALUE"""),2062.5)</f>
        <v>2062.5</v>
      </c>
      <c r="D231" s="1">
        <f ca="1">IFERROR(__xludf.DUMMYFUNCTION("""COMPUTED_VALUE"""),2042.56)</f>
        <v>2042.56</v>
      </c>
      <c r="E231" s="1">
        <f ca="1">IFERROR(__xludf.DUMMYFUNCTION("""COMPUTED_VALUE"""),2045.17)</f>
        <v>2045.17</v>
      </c>
      <c r="F231" s="1">
        <f ca="1">IFERROR(__xludf.DUMMYFUNCTION("""COMPUTED_VALUE"""),666163177)</f>
        <v>666163177</v>
      </c>
    </row>
    <row r="232" spans="1:6" ht="13" x14ac:dyDescent="0.15">
      <c r="A232" s="2">
        <f ca="1">IFERROR(__xludf.DUMMYFUNCTION("""COMPUTED_VALUE"""),42466.6666666666)</f>
        <v>42466.666666666599</v>
      </c>
      <c r="B232" s="1">
        <f ca="1">IFERROR(__xludf.DUMMYFUNCTION("""COMPUTED_VALUE"""),2045.56)</f>
        <v>2045.56</v>
      </c>
      <c r="C232" s="1">
        <f ca="1">IFERROR(__xludf.DUMMYFUNCTION("""COMPUTED_VALUE"""),2067.33)</f>
        <v>2067.33</v>
      </c>
      <c r="D232" s="1">
        <f ca="1">IFERROR(__xludf.DUMMYFUNCTION("""COMPUTED_VALUE"""),2043.09)</f>
        <v>2043.09</v>
      </c>
      <c r="E232" s="1">
        <f ca="1">IFERROR(__xludf.DUMMYFUNCTION("""COMPUTED_VALUE"""),2066.66)</f>
        <v>2066.66</v>
      </c>
      <c r="F232" s="1">
        <f ca="1">IFERROR(__xludf.DUMMYFUNCTION("""COMPUTED_VALUE"""),581198920)</f>
        <v>581198920</v>
      </c>
    </row>
    <row r="233" spans="1:6" ht="13" x14ac:dyDescent="0.15">
      <c r="A233" s="2">
        <f ca="1">IFERROR(__xludf.DUMMYFUNCTION("""COMPUTED_VALUE"""),42467.6666666666)</f>
        <v>42467.666666666599</v>
      </c>
      <c r="B233" s="1">
        <f ca="1">IFERROR(__xludf.DUMMYFUNCTION("""COMPUTED_VALUE"""),2063.01)</f>
        <v>2063.0100000000002</v>
      </c>
      <c r="C233" s="1">
        <f ca="1">IFERROR(__xludf.DUMMYFUNCTION("""COMPUTED_VALUE"""),2063.01)</f>
        <v>2063.0100000000002</v>
      </c>
      <c r="D233" s="1">
        <f ca="1">IFERROR(__xludf.DUMMYFUNCTION("""COMPUTED_VALUE"""),2033.8)</f>
        <v>2033.8</v>
      </c>
      <c r="E233" s="1">
        <f ca="1">IFERROR(__xludf.DUMMYFUNCTION("""COMPUTED_VALUE"""),2041.91)</f>
        <v>2041.91</v>
      </c>
      <c r="F233" s="1">
        <f ca="1">IFERROR(__xludf.DUMMYFUNCTION("""COMPUTED_VALUE"""),618277738)</f>
        <v>618277738</v>
      </c>
    </row>
    <row r="234" spans="1:6" ht="13" x14ac:dyDescent="0.15">
      <c r="A234" s="2">
        <f ca="1">IFERROR(__xludf.DUMMYFUNCTION("""COMPUTED_VALUE"""),42468.6666666666)</f>
        <v>42468.666666666599</v>
      </c>
      <c r="B234" s="1">
        <f ca="1">IFERROR(__xludf.DUMMYFUNCTION("""COMPUTED_VALUE"""),2045.54)</f>
        <v>2045.54</v>
      </c>
      <c r="C234" s="1">
        <f ca="1">IFERROR(__xludf.DUMMYFUNCTION("""COMPUTED_VALUE"""),2060.63)</f>
        <v>2060.63</v>
      </c>
      <c r="D234" s="1">
        <f ca="1">IFERROR(__xludf.DUMMYFUNCTION("""COMPUTED_VALUE"""),2041.69)</f>
        <v>2041.69</v>
      </c>
      <c r="E234" s="1">
        <f ca="1">IFERROR(__xludf.DUMMYFUNCTION("""COMPUTED_VALUE"""),2047.6)</f>
        <v>2047.6</v>
      </c>
      <c r="F234" s="1">
        <f ca="1">IFERROR(__xludf.DUMMYFUNCTION("""COMPUTED_VALUE"""),534860062)</f>
        <v>534860062</v>
      </c>
    </row>
    <row r="235" spans="1:6" ht="13" x14ac:dyDescent="0.15">
      <c r="A235" s="2">
        <f ca="1">IFERROR(__xludf.DUMMYFUNCTION("""COMPUTED_VALUE"""),42471.6666666666)</f>
        <v>42471.666666666599</v>
      </c>
      <c r="B235" s="1">
        <f ca="1">IFERROR(__xludf.DUMMYFUNCTION("""COMPUTED_VALUE"""),2050.23)</f>
        <v>2050.23</v>
      </c>
      <c r="C235" s="1">
        <f ca="1">IFERROR(__xludf.DUMMYFUNCTION("""COMPUTED_VALUE"""),2062.93)</f>
        <v>2062.9299999999998</v>
      </c>
      <c r="D235" s="1">
        <f ca="1">IFERROR(__xludf.DUMMYFUNCTION("""COMPUTED_VALUE"""),2041.88)</f>
        <v>2041.88</v>
      </c>
      <c r="E235" s="1">
        <f ca="1">IFERROR(__xludf.DUMMYFUNCTION("""COMPUTED_VALUE"""),2041.99)</f>
        <v>2041.99</v>
      </c>
      <c r="F235" s="1">
        <f ca="1">IFERROR(__xludf.DUMMYFUNCTION("""COMPUTED_VALUE"""),586554903)</f>
        <v>586554903</v>
      </c>
    </row>
    <row r="236" spans="1:6" ht="13" x14ac:dyDescent="0.15">
      <c r="A236" s="2">
        <f ca="1">IFERROR(__xludf.DUMMYFUNCTION("""COMPUTED_VALUE"""),42472.6666666666)</f>
        <v>42472.666666666599</v>
      </c>
      <c r="B236" s="1">
        <f ca="1">IFERROR(__xludf.DUMMYFUNCTION("""COMPUTED_VALUE"""),2043.72)</f>
        <v>2043.72</v>
      </c>
      <c r="C236" s="1">
        <f ca="1">IFERROR(__xludf.DUMMYFUNCTION("""COMPUTED_VALUE"""),2065.05)</f>
        <v>2065.0500000000002</v>
      </c>
      <c r="D236" s="1">
        <f ca="1">IFERROR(__xludf.DUMMYFUNCTION("""COMPUTED_VALUE"""),2039.74)</f>
        <v>2039.74</v>
      </c>
      <c r="E236" s="1">
        <f ca="1">IFERROR(__xludf.DUMMYFUNCTION("""COMPUTED_VALUE"""),2061.72)</f>
        <v>2061.7199999999998</v>
      </c>
      <c r="F236" s="1">
        <f ca="1">IFERROR(__xludf.DUMMYFUNCTION("""COMPUTED_VALUE"""),590857575)</f>
        <v>590857575</v>
      </c>
    </row>
    <row r="237" spans="1:6" ht="13" x14ac:dyDescent="0.15">
      <c r="A237" s="2">
        <f ca="1">IFERROR(__xludf.DUMMYFUNCTION("""COMPUTED_VALUE"""),42473.6666666666)</f>
        <v>42473.666666666599</v>
      </c>
      <c r="B237" s="1">
        <f ca="1">IFERROR(__xludf.DUMMYFUNCTION("""COMPUTED_VALUE"""),2065.92)</f>
        <v>2065.92</v>
      </c>
      <c r="C237" s="1">
        <f ca="1">IFERROR(__xludf.DUMMYFUNCTION("""COMPUTED_VALUE"""),2083.18)</f>
        <v>2083.1799999999998</v>
      </c>
      <c r="D237" s="1">
        <f ca="1">IFERROR(__xludf.DUMMYFUNCTION("""COMPUTED_VALUE"""),2065.92)</f>
        <v>2065.92</v>
      </c>
      <c r="E237" s="1">
        <f ca="1">IFERROR(__xludf.DUMMYFUNCTION("""COMPUTED_VALUE"""),2082.42)</f>
        <v>2082.42</v>
      </c>
      <c r="F237" s="1">
        <f ca="1">IFERROR(__xludf.DUMMYFUNCTION("""COMPUTED_VALUE"""),630914475)</f>
        <v>630914475</v>
      </c>
    </row>
    <row r="238" spans="1:6" ht="13" x14ac:dyDescent="0.15">
      <c r="A238" s="2">
        <f ca="1">IFERROR(__xludf.DUMMYFUNCTION("""COMPUTED_VALUE"""),42474.6666666666)</f>
        <v>42474.666666666599</v>
      </c>
      <c r="B238" s="1">
        <f ca="1">IFERROR(__xludf.DUMMYFUNCTION("""COMPUTED_VALUE"""),2082.89)</f>
        <v>2082.89</v>
      </c>
      <c r="C238" s="1">
        <f ca="1">IFERROR(__xludf.DUMMYFUNCTION("""COMPUTED_VALUE"""),2087.84)</f>
        <v>2087.84</v>
      </c>
      <c r="D238" s="1">
        <f ca="1">IFERROR(__xludf.DUMMYFUNCTION("""COMPUTED_VALUE"""),2078.13)</f>
        <v>2078.13</v>
      </c>
      <c r="E238" s="1">
        <f ca="1">IFERROR(__xludf.DUMMYFUNCTION("""COMPUTED_VALUE"""),2082.78)</f>
        <v>2082.7800000000002</v>
      </c>
      <c r="F238" s="1">
        <f ca="1">IFERROR(__xludf.DUMMYFUNCTION("""COMPUTED_VALUE"""),563108643)</f>
        <v>563108643</v>
      </c>
    </row>
    <row r="239" spans="1:6" ht="13" x14ac:dyDescent="0.15">
      <c r="A239" s="2">
        <f ca="1">IFERROR(__xludf.DUMMYFUNCTION("""COMPUTED_VALUE"""),42475.6666666666)</f>
        <v>42475.666666666599</v>
      </c>
      <c r="B239" s="1">
        <f ca="1">IFERROR(__xludf.DUMMYFUNCTION("""COMPUTED_VALUE"""),2083.1)</f>
        <v>2083.1</v>
      </c>
      <c r="C239" s="1">
        <f ca="1">IFERROR(__xludf.DUMMYFUNCTION("""COMPUTED_VALUE"""),2083.22)</f>
        <v>2083.2199999999998</v>
      </c>
      <c r="D239" s="1">
        <f ca="1">IFERROR(__xludf.DUMMYFUNCTION("""COMPUTED_VALUE"""),2076.31)</f>
        <v>2076.31</v>
      </c>
      <c r="E239" s="1">
        <f ca="1">IFERROR(__xludf.DUMMYFUNCTION("""COMPUTED_VALUE"""),2080.73)</f>
        <v>2080.73</v>
      </c>
      <c r="F239" s="1">
        <f ca="1">IFERROR(__xludf.DUMMYFUNCTION("""COMPUTED_VALUE"""),693554004)</f>
        <v>693554004</v>
      </c>
    </row>
    <row r="240" spans="1:6" ht="13" x14ac:dyDescent="0.15">
      <c r="A240" s="2">
        <f ca="1">IFERROR(__xludf.DUMMYFUNCTION("""COMPUTED_VALUE"""),42478.6666666666)</f>
        <v>42478.666666666599</v>
      </c>
      <c r="B240" s="1">
        <f ca="1">IFERROR(__xludf.DUMMYFUNCTION("""COMPUTED_VALUE"""),2078.83)</f>
        <v>2078.83</v>
      </c>
      <c r="C240" s="1">
        <f ca="1">IFERROR(__xludf.DUMMYFUNCTION("""COMPUTED_VALUE"""),2094.66)</f>
        <v>2094.66</v>
      </c>
      <c r="D240" s="1">
        <f ca="1">IFERROR(__xludf.DUMMYFUNCTION("""COMPUTED_VALUE"""),2073.65)</f>
        <v>2073.65</v>
      </c>
      <c r="E240" s="1">
        <f ca="1">IFERROR(__xludf.DUMMYFUNCTION("""COMPUTED_VALUE"""),2094.34)</f>
        <v>2094.34</v>
      </c>
      <c r="F240" s="1">
        <f ca="1">IFERROR(__xludf.DUMMYFUNCTION("""COMPUTED_VALUE"""),547244884)</f>
        <v>547244884</v>
      </c>
    </row>
    <row r="241" spans="1:6" ht="13" x14ac:dyDescent="0.15">
      <c r="A241" s="2">
        <f ca="1">IFERROR(__xludf.DUMMYFUNCTION("""COMPUTED_VALUE"""),42479.6666666666)</f>
        <v>42479.666666666599</v>
      </c>
      <c r="B241" s="1">
        <f ca="1">IFERROR(__xludf.DUMMYFUNCTION("""COMPUTED_VALUE"""),2096.05)</f>
        <v>2096.0500000000002</v>
      </c>
      <c r="C241" s="1">
        <f ca="1">IFERROR(__xludf.DUMMYFUNCTION("""COMPUTED_VALUE"""),2104.05)</f>
        <v>2104.0500000000002</v>
      </c>
      <c r="D241" s="1">
        <f ca="1">IFERROR(__xludf.DUMMYFUNCTION("""COMPUTED_VALUE"""),2091.68)</f>
        <v>2091.6799999999998</v>
      </c>
      <c r="E241" s="1">
        <f ca="1">IFERROR(__xludf.DUMMYFUNCTION("""COMPUTED_VALUE"""),2100.8)</f>
        <v>2100.8000000000002</v>
      </c>
      <c r="F241" s="1">
        <f ca="1">IFERROR(__xludf.DUMMYFUNCTION("""COMPUTED_VALUE"""),590323888)</f>
        <v>590323888</v>
      </c>
    </row>
    <row r="242" spans="1:6" ht="13" x14ac:dyDescent="0.15">
      <c r="A242" s="2">
        <f ca="1">IFERROR(__xludf.DUMMYFUNCTION("""COMPUTED_VALUE"""),42480.6666666666)</f>
        <v>42480.666666666599</v>
      </c>
      <c r="B242" s="1">
        <f ca="1">IFERROR(__xludf.DUMMYFUNCTION("""COMPUTED_VALUE"""),2101.52)</f>
        <v>2101.52</v>
      </c>
      <c r="C242" s="1">
        <f ca="1">IFERROR(__xludf.DUMMYFUNCTION("""COMPUTED_VALUE"""),2111.05)</f>
        <v>2111.0500000000002</v>
      </c>
      <c r="D242" s="1">
        <f ca="1">IFERROR(__xludf.DUMMYFUNCTION("""COMPUTED_VALUE"""),2096.32)</f>
        <v>2096.3200000000002</v>
      </c>
      <c r="E242" s="1">
        <f ca="1">IFERROR(__xludf.DUMMYFUNCTION("""COMPUTED_VALUE"""),2102.4)</f>
        <v>2102.4</v>
      </c>
      <c r="F242" s="1">
        <f ca="1">IFERROR(__xludf.DUMMYFUNCTION("""COMPUTED_VALUE"""),604654546)</f>
        <v>604654546</v>
      </c>
    </row>
    <row r="243" spans="1:6" ht="13" x14ac:dyDescent="0.15">
      <c r="A243" s="2">
        <f ca="1">IFERROR(__xludf.DUMMYFUNCTION("""COMPUTED_VALUE"""),42481.6666666666)</f>
        <v>42481.666666666599</v>
      </c>
      <c r="B243" s="1">
        <f ca="1">IFERROR(__xludf.DUMMYFUNCTION("""COMPUTED_VALUE"""),2102.09)</f>
        <v>2102.09</v>
      </c>
      <c r="C243" s="1">
        <f ca="1">IFERROR(__xludf.DUMMYFUNCTION("""COMPUTED_VALUE"""),2103.78)</f>
        <v>2103.7800000000002</v>
      </c>
      <c r="D243" s="1">
        <f ca="1">IFERROR(__xludf.DUMMYFUNCTION("""COMPUTED_VALUE"""),2088.52)</f>
        <v>2088.52</v>
      </c>
      <c r="E243" s="1">
        <f ca="1">IFERROR(__xludf.DUMMYFUNCTION("""COMPUTED_VALUE"""),2091.48)</f>
        <v>2091.48</v>
      </c>
      <c r="F243" s="1">
        <f ca="1">IFERROR(__xludf.DUMMYFUNCTION("""COMPUTED_VALUE"""),651246160)</f>
        <v>651246160</v>
      </c>
    </row>
    <row r="244" spans="1:6" ht="13" x14ac:dyDescent="0.15">
      <c r="A244" s="2">
        <f ca="1">IFERROR(__xludf.DUMMYFUNCTION("""COMPUTED_VALUE"""),42482.6666666666)</f>
        <v>42482.666666666599</v>
      </c>
      <c r="B244" s="1">
        <f ca="1">IFERROR(__xludf.DUMMYFUNCTION("""COMPUTED_VALUE"""),2091.49)</f>
        <v>2091.4899999999998</v>
      </c>
      <c r="C244" s="1">
        <f ca="1">IFERROR(__xludf.DUMMYFUNCTION("""COMPUTED_VALUE"""),2094.32)</f>
        <v>2094.3200000000002</v>
      </c>
      <c r="D244" s="1">
        <f ca="1">IFERROR(__xludf.DUMMYFUNCTION("""COMPUTED_VALUE"""),2081.2)</f>
        <v>2081.1999999999998</v>
      </c>
      <c r="E244" s="1">
        <f ca="1">IFERROR(__xludf.DUMMYFUNCTION("""COMPUTED_VALUE"""),2091.58)</f>
        <v>2091.58</v>
      </c>
      <c r="F244" s="1">
        <f ca="1">IFERROR(__xludf.DUMMYFUNCTION("""COMPUTED_VALUE"""),705983995)</f>
        <v>705983995</v>
      </c>
    </row>
    <row r="245" spans="1:6" ht="13" x14ac:dyDescent="0.15">
      <c r="A245" s="2">
        <f ca="1">IFERROR(__xludf.DUMMYFUNCTION("""COMPUTED_VALUE"""),42485.6666666666)</f>
        <v>42485.666666666599</v>
      </c>
      <c r="B245" s="1">
        <f ca="1">IFERROR(__xludf.DUMMYFUNCTION("""COMPUTED_VALUE"""),2089.37)</f>
        <v>2089.37</v>
      </c>
      <c r="C245" s="1">
        <f ca="1">IFERROR(__xludf.DUMMYFUNCTION("""COMPUTED_VALUE"""),2089.37)</f>
        <v>2089.37</v>
      </c>
      <c r="D245" s="1">
        <f ca="1">IFERROR(__xludf.DUMMYFUNCTION("""COMPUTED_VALUE"""),2077.52)</f>
        <v>2077.52</v>
      </c>
      <c r="E245" s="1">
        <f ca="1">IFERROR(__xludf.DUMMYFUNCTION("""COMPUTED_VALUE"""),2087.79)</f>
        <v>2087.79</v>
      </c>
      <c r="F245" s="1">
        <f ca="1">IFERROR(__xludf.DUMMYFUNCTION("""COMPUTED_VALUE"""),544779102)</f>
        <v>544779102</v>
      </c>
    </row>
    <row r="246" spans="1:6" ht="13" x14ac:dyDescent="0.15">
      <c r="A246" s="2">
        <f ca="1">IFERROR(__xludf.DUMMYFUNCTION("""COMPUTED_VALUE"""),42486.6666666666)</f>
        <v>42486.666666666599</v>
      </c>
      <c r="B246" s="1">
        <f ca="1">IFERROR(__xludf.DUMMYFUNCTION("""COMPUTED_VALUE"""),2089.84)</f>
        <v>2089.84</v>
      </c>
      <c r="C246" s="1">
        <f ca="1">IFERROR(__xludf.DUMMYFUNCTION("""COMPUTED_VALUE"""),2096.87)</f>
        <v>2096.87</v>
      </c>
      <c r="D246" s="1">
        <f ca="1">IFERROR(__xludf.DUMMYFUNCTION("""COMPUTED_VALUE"""),2085.8)</f>
        <v>2085.8000000000002</v>
      </c>
      <c r="E246" s="1">
        <f ca="1">IFERROR(__xludf.DUMMYFUNCTION("""COMPUTED_VALUE"""),2091.7)</f>
        <v>2091.6999999999998</v>
      </c>
      <c r="F246" s="1">
        <f ca="1">IFERROR(__xludf.DUMMYFUNCTION("""COMPUTED_VALUE"""),598555074)</f>
        <v>598555074</v>
      </c>
    </row>
    <row r="247" spans="1:6" ht="13" x14ac:dyDescent="0.15">
      <c r="A247" s="2">
        <f ca="1">IFERROR(__xludf.DUMMYFUNCTION("""COMPUTED_VALUE"""),42487.6666666666)</f>
        <v>42487.666666666599</v>
      </c>
      <c r="B247" s="1">
        <f ca="1">IFERROR(__xludf.DUMMYFUNCTION("""COMPUTED_VALUE"""),2092.33)</f>
        <v>2092.33</v>
      </c>
      <c r="C247" s="1">
        <f ca="1">IFERROR(__xludf.DUMMYFUNCTION("""COMPUTED_VALUE"""),2099.89)</f>
        <v>2099.89</v>
      </c>
      <c r="D247" s="1">
        <f ca="1">IFERROR(__xludf.DUMMYFUNCTION("""COMPUTED_VALUE"""),2082.31)</f>
        <v>2082.31</v>
      </c>
      <c r="E247" s="1">
        <f ca="1">IFERROR(__xludf.DUMMYFUNCTION("""COMPUTED_VALUE"""),2095.15)</f>
        <v>2095.15</v>
      </c>
      <c r="F247" s="1">
        <f ca="1">IFERROR(__xludf.DUMMYFUNCTION("""COMPUTED_VALUE"""),672757652)</f>
        <v>672757652</v>
      </c>
    </row>
    <row r="248" spans="1:6" ht="13" x14ac:dyDescent="0.15">
      <c r="A248" s="2">
        <f ca="1">IFERROR(__xludf.DUMMYFUNCTION("""COMPUTED_VALUE"""),42488.6666666666)</f>
        <v>42488.666666666599</v>
      </c>
      <c r="B248" s="1">
        <f ca="1">IFERROR(__xludf.DUMMYFUNCTION("""COMPUTED_VALUE"""),2090.93)</f>
        <v>2090.9299999999998</v>
      </c>
      <c r="C248" s="1">
        <f ca="1">IFERROR(__xludf.DUMMYFUNCTION("""COMPUTED_VALUE"""),2099.3)</f>
        <v>2099.3000000000002</v>
      </c>
      <c r="D248" s="1">
        <f ca="1">IFERROR(__xludf.DUMMYFUNCTION("""COMPUTED_VALUE"""),2071.62)</f>
        <v>2071.62</v>
      </c>
      <c r="E248" s="1">
        <f ca="1">IFERROR(__xludf.DUMMYFUNCTION("""COMPUTED_VALUE"""),2075.81)</f>
        <v>2075.81</v>
      </c>
      <c r="F248" s="1">
        <f ca="1">IFERROR(__xludf.DUMMYFUNCTION("""COMPUTED_VALUE"""),689220607)</f>
        <v>689220607</v>
      </c>
    </row>
    <row r="249" spans="1:6" ht="13" x14ac:dyDescent="0.15">
      <c r="A249" s="2">
        <f ca="1">IFERROR(__xludf.DUMMYFUNCTION("""COMPUTED_VALUE"""),42489.6666666666)</f>
        <v>42489.666666666599</v>
      </c>
      <c r="B249" s="1">
        <f ca="1">IFERROR(__xludf.DUMMYFUNCTION("""COMPUTED_VALUE"""),2071.82)</f>
        <v>2071.8200000000002</v>
      </c>
      <c r="C249" s="1">
        <f ca="1">IFERROR(__xludf.DUMMYFUNCTION("""COMPUTED_VALUE"""),2073.85)</f>
        <v>2073.85</v>
      </c>
      <c r="D249" s="1">
        <f ca="1">IFERROR(__xludf.DUMMYFUNCTION("""COMPUTED_VALUE"""),2052.28)</f>
        <v>2052.2800000000002</v>
      </c>
      <c r="E249" s="1">
        <f ca="1">IFERROR(__xludf.DUMMYFUNCTION("""COMPUTED_VALUE"""),2065.3)</f>
        <v>2065.3000000000002</v>
      </c>
      <c r="F249" s="1">
        <f ca="1">IFERROR(__xludf.DUMMYFUNCTION("""COMPUTED_VALUE"""),887327440)</f>
        <v>887327440</v>
      </c>
    </row>
    <row r="250" spans="1:6" ht="13" x14ac:dyDescent="0.15">
      <c r="A250" s="2">
        <f ca="1">IFERROR(__xludf.DUMMYFUNCTION("""COMPUTED_VALUE"""),42492.6666666666)</f>
        <v>42492.666666666599</v>
      </c>
      <c r="B250" s="1">
        <f ca="1">IFERROR(__xludf.DUMMYFUNCTION("""COMPUTED_VALUE"""),2067.17)</f>
        <v>2067.17</v>
      </c>
      <c r="C250" s="1">
        <f ca="1">IFERROR(__xludf.DUMMYFUNCTION("""COMPUTED_VALUE"""),2083.42)</f>
        <v>2083.42</v>
      </c>
      <c r="D250" s="1">
        <f ca="1">IFERROR(__xludf.DUMMYFUNCTION("""COMPUTED_VALUE"""),2066.11)</f>
        <v>2066.11</v>
      </c>
      <c r="E250" s="1">
        <f ca="1">IFERROR(__xludf.DUMMYFUNCTION("""COMPUTED_VALUE"""),2081.43)</f>
        <v>2081.4299999999998</v>
      </c>
      <c r="F250" s="1">
        <f ca="1">IFERROR(__xludf.DUMMYFUNCTION("""COMPUTED_VALUE"""),604121364)</f>
        <v>604121364</v>
      </c>
    </row>
    <row r="251" spans="1:6" ht="13" x14ac:dyDescent="0.15">
      <c r="A251" s="2">
        <f ca="1">IFERROR(__xludf.DUMMYFUNCTION("""COMPUTED_VALUE"""),42493.6666666666)</f>
        <v>42493.666666666599</v>
      </c>
      <c r="B251" s="1">
        <f ca="1">IFERROR(__xludf.DUMMYFUNCTION("""COMPUTED_VALUE"""),2077.18)</f>
        <v>2077.1799999999998</v>
      </c>
      <c r="C251" s="1">
        <f ca="1">IFERROR(__xludf.DUMMYFUNCTION("""COMPUTED_VALUE"""),2077.18)</f>
        <v>2077.1799999999998</v>
      </c>
      <c r="D251" s="1">
        <f ca="1">IFERROR(__xludf.DUMMYFUNCTION("""COMPUTED_VALUE"""),2054.89)</f>
        <v>2054.89</v>
      </c>
      <c r="E251" s="1">
        <f ca="1">IFERROR(__xludf.DUMMYFUNCTION("""COMPUTED_VALUE"""),2063.37)</f>
        <v>2063.37</v>
      </c>
      <c r="F251" s="1">
        <f ca="1">IFERROR(__xludf.DUMMYFUNCTION("""COMPUTED_VALUE"""),635557393)</f>
        <v>635557393</v>
      </c>
    </row>
    <row r="252" spans="1:6" ht="13" x14ac:dyDescent="0.15">
      <c r="A252" s="2">
        <f ca="1">IFERROR(__xludf.DUMMYFUNCTION("""COMPUTED_VALUE"""),42494.6666666666)</f>
        <v>42494.666666666599</v>
      </c>
      <c r="B252" s="1">
        <f ca="1">IFERROR(__xludf.DUMMYFUNCTION("""COMPUTED_VALUE"""),2060.3)</f>
        <v>2060.3000000000002</v>
      </c>
      <c r="C252" s="1">
        <f ca="1">IFERROR(__xludf.DUMMYFUNCTION("""COMPUTED_VALUE"""),2060.3)</f>
        <v>2060.3000000000002</v>
      </c>
      <c r="D252" s="1">
        <f ca="1">IFERROR(__xludf.DUMMYFUNCTION("""COMPUTED_VALUE"""),2045.55)</f>
        <v>2045.55</v>
      </c>
      <c r="E252" s="1">
        <f ca="1">IFERROR(__xludf.DUMMYFUNCTION("""COMPUTED_VALUE"""),2051.12)</f>
        <v>2051.12</v>
      </c>
      <c r="F252" s="1">
        <f ca="1">IFERROR(__xludf.DUMMYFUNCTION("""COMPUTED_VALUE"""),626804080)</f>
        <v>626804080</v>
      </c>
    </row>
    <row r="253" spans="1:6" ht="13" x14ac:dyDescent="0.15">
      <c r="A253" s="2">
        <f ca="1">IFERROR(__xludf.DUMMYFUNCTION("""COMPUTED_VALUE"""),42495.6666666666)</f>
        <v>42495.666666666599</v>
      </c>
      <c r="B253" s="1">
        <f ca="1">IFERROR(__xludf.DUMMYFUNCTION("""COMPUTED_VALUE"""),2052.95)</f>
        <v>2052.9499999999998</v>
      </c>
      <c r="C253" s="1">
        <f ca="1">IFERROR(__xludf.DUMMYFUNCTION("""COMPUTED_VALUE"""),2060.23)</f>
        <v>2060.23</v>
      </c>
      <c r="D253" s="1">
        <f ca="1">IFERROR(__xludf.DUMMYFUNCTION("""COMPUTED_VALUE"""),2045.77)</f>
        <v>2045.77</v>
      </c>
      <c r="E253" s="1">
        <f ca="1">IFERROR(__xludf.DUMMYFUNCTION("""COMPUTED_VALUE"""),2050.63)</f>
        <v>2050.63</v>
      </c>
      <c r="F253" s="1">
        <f ca="1">IFERROR(__xludf.DUMMYFUNCTION("""COMPUTED_VALUE"""),596257671)</f>
        <v>596257671</v>
      </c>
    </row>
    <row r="254" spans="1:6" ht="13" x14ac:dyDescent="0.15">
      <c r="A254" s="2">
        <f ca="1">IFERROR(__xludf.DUMMYFUNCTION("""COMPUTED_VALUE"""),42496.6666666666)</f>
        <v>42496.666666666599</v>
      </c>
      <c r="B254" s="1">
        <f ca="1">IFERROR(__xludf.DUMMYFUNCTION("""COMPUTED_VALUE"""),2047.77)</f>
        <v>2047.77</v>
      </c>
      <c r="C254" s="1">
        <f ca="1">IFERROR(__xludf.DUMMYFUNCTION("""COMPUTED_VALUE"""),2057.72)</f>
        <v>2057.7199999999998</v>
      </c>
      <c r="D254" s="1">
        <f ca="1">IFERROR(__xludf.DUMMYFUNCTION("""COMPUTED_VALUE"""),2039.45)</f>
        <v>2039.45</v>
      </c>
      <c r="E254" s="1">
        <f ca="1">IFERROR(__xludf.DUMMYFUNCTION("""COMPUTED_VALUE"""),2057.14)</f>
        <v>2057.14</v>
      </c>
      <c r="F254" s="1">
        <f ca="1">IFERROR(__xludf.DUMMYFUNCTION("""COMPUTED_VALUE"""),588441649)</f>
        <v>588441649</v>
      </c>
    </row>
    <row r="255" spans="1:6" ht="13" x14ac:dyDescent="0.15">
      <c r="A255" s="2">
        <f ca="1">IFERROR(__xludf.DUMMYFUNCTION("""COMPUTED_VALUE"""),42499.6666666666)</f>
        <v>42499.666666666599</v>
      </c>
      <c r="B255" s="1">
        <f ca="1">IFERROR(__xludf.DUMMYFUNCTION("""COMPUTED_VALUE"""),2057.55)</f>
        <v>2057.5500000000002</v>
      </c>
      <c r="C255" s="1">
        <f ca="1">IFERROR(__xludf.DUMMYFUNCTION("""COMPUTED_VALUE"""),2064.15)</f>
        <v>2064.15</v>
      </c>
      <c r="D255" s="1">
        <f ca="1">IFERROR(__xludf.DUMMYFUNCTION("""COMPUTED_VALUE"""),2054.31)</f>
        <v>2054.31</v>
      </c>
      <c r="E255" s="1">
        <f ca="1">IFERROR(__xludf.DUMMYFUNCTION("""COMPUTED_VALUE"""),2058.69)</f>
        <v>2058.69</v>
      </c>
      <c r="F255" s="1">
        <f ca="1">IFERROR(__xludf.DUMMYFUNCTION("""COMPUTED_VALUE"""),557448620)</f>
        <v>557448620</v>
      </c>
    </row>
    <row r="256" spans="1:6" ht="13" x14ac:dyDescent="0.15">
      <c r="A256" s="2">
        <f ca="1">IFERROR(__xludf.DUMMYFUNCTION("""COMPUTED_VALUE"""),42500.6666666666)</f>
        <v>42500.666666666599</v>
      </c>
      <c r="B256" s="1">
        <f ca="1">IFERROR(__xludf.DUMMYFUNCTION("""COMPUTED_VALUE"""),2062.63)</f>
        <v>2062.63</v>
      </c>
      <c r="C256" s="1">
        <f ca="1">IFERROR(__xludf.DUMMYFUNCTION("""COMPUTED_VALUE"""),2084.87)</f>
        <v>2084.87</v>
      </c>
      <c r="D256" s="1">
        <f ca="1">IFERROR(__xludf.DUMMYFUNCTION("""COMPUTED_VALUE"""),2062.63)</f>
        <v>2062.63</v>
      </c>
      <c r="E256" s="1">
        <f ca="1">IFERROR(__xludf.DUMMYFUNCTION("""COMPUTED_VALUE"""),2084.39)</f>
        <v>2084.39</v>
      </c>
      <c r="F256" s="1">
        <f ca="1">IFERROR(__xludf.DUMMYFUNCTION("""COMPUTED_VALUE"""),520435759)</f>
        <v>520435759</v>
      </c>
    </row>
    <row r="257" spans="1:6" ht="13" x14ac:dyDescent="0.15">
      <c r="A257" s="2">
        <f ca="1">IFERROR(__xludf.DUMMYFUNCTION("""COMPUTED_VALUE"""),42501.6666666666)</f>
        <v>42501.666666666599</v>
      </c>
      <c r="B257" s="1">
        <f ca="1">IFERROR(__xludf.DUMMYFUNCTION("""COMPUTED_VALUE"""),2083.29)</f>
        <v>2083.29</v>
      </c>
      <c r="C257" s="1">
        <f ca="1">IFERROR(__xludf.DUMMYFUNCTION("""COMPUTED_VALUE"""),2083.29)</f>
        <v>2083.29</v>
      </c>
      <c r="D257" s="1">
        <f ca="1">IFERROR(__xludf.DUMMYFUNCTION("""COMPUTED_VALUE"""),2064.46)</f>
        <v>2064.46</v>
      </c>
      <c r="E257" s="1">
        <f ca="1">IFERROR(__xludf.DUMMYFUNCTION("""COMPUTED_VALUE"""),2064.46)</f>
        <v>2064.46</v>
      </c>
      <c r="F257" s="1">
        <f ca="1">IFERROR(__xludf.DUMMYFUNCTION("""COMPUTED_VALUE"""),580139895)</f>
        <v>580139895</v>
      </c>
    </row>
    <row r="258" spans="1:6" ht="13" x14ac:dyDescent="0.15">
      <c r="A258" s="2">
        <f ca="1">IFERROR(__xludf.DUMMYFUNCTION("""COMPUTED_VALUE"""),42502.6666666666)</f>
        <v>42502.666666666599</v>
      </c>
      <c r="B258" s="1">
        <f ca="1">IFERROR(__xludf.DUMMYFUNCTION("""COMPUTED_VALUE"""),2067.17)</f>
        <v>2067.17</v>
      </c>
      <c r="C258" s="1">
        <f ca="1">IFERROR(__xludf.DUMMYFUNCTION("""COMPUTED_VALUE"""),2073.99)</f>
        <v>2073.9899999999998</v>
      </c>
      <c r="D258" s="1">
        <f ca="1">IFERROR(__xludf.DUMMYFUNCTION("""COMPUTED_VALUE"""),2053.13)</f>
        <v>2053.13</v>
      </c>
      <c r="E258" s="1">
        <f ca="1">IFERROR(__xludf.DUMMYFUNCTION("""COMPUTED_VALUE"""),2064.11)</f>
        <v>2064.11</v>
      </c>
      <c r="F258" s="1">
        <f ca="1">IFERROR(__xludf.DUMMYFUNCTION("""COMPUTED_VALUE"""),588564913)</f>
        <v>588564913</v>
      </c>
    </row>
    <row r="259" spans="1:6" ht="13" x14ac:dyDescent="0.15">
      <c r="A259" s="2">
        <f ca="1">IFERROR(__xludf.DUMMYFUNCTION("""COMPUTED_VALUE"""),42503.6666666666)</f>
        <v>42503.666666666599</v>
      </c>
      <c r="B259" s="1">
        <f ca="1">IFERROR(__xludf.DUMMYFUNCTION("""COMPUTED_VALUE"""),2062.5)</f>
        <v>2062.5</v>
      </c>
      <c r="C259" s="1">
        <f ca="1">IFERROR(__xludf.DUMMYFUNCTION("""COMPUTED_VALUE"""),2066.79)</f>
        <v>2066.79</v>
      </c>
      <c r="D259" s="1">
        <f ca="1">IFERROR(__xludf.DUMMYFUNCTION("""COMPUTED_VALUE"""),2043.13)</f>
        <v>2043.13</v>
      </c>
      <c r="E259" s="1">
        <f ca="1">IFERROR(__xludf.DUMMYFUNCTION("""COMPUTED_VALUE"""),2046.61)</f>
        <v>2046.61</v>
      </c>
      <c r="F259" s="1">
        <f ca="1">IFERROR(__xludf.DUMMYFUNCTION("""COMPUTED_VALUE"""),567482287)</f>
        <v>567482287</v>
      </c>
    </row>
    <row r="260" spans="1:6" ht="13" x14ac:dyDescent="0.15">
      <c r="A260" s="2">
        <f ca="1">IFERROR(__xludf.DUMMYFUNCTION("""COMPUTED_VALUE"""),42506.6666666666)</f>
        <v>42506.666666666599</v>
      </c>
      <c r="B260" s="1">
        <f ca="1">IFERROR(__xludf.DUMMYFUNCTION("""COMPUTED_VALUE"""),2046.53)</f>
        <v>2046.53</v>
      </c>
      <c r="C260" s="1">
        <f ca="1">IFERROR(__xludf.DUMMYFUNCTION("""COMPUTED_VALUE"""),2071.88)</f>
        <v>2071.88</v>
      </c>
      <c r="D260" s="1">
        <f ca="1">IFERROR(__xludf.DUMMYFUNCTION("""COMPUTED_VALUE"""),2046.53)</f>
        <v>2046.53</v>
      </c>
      <c r="E260" s="1">
        <f ca="1">IFERROR(__xludf.DUMMYFUNCTION("""COMPUTED_VALUE"""),2066.66)</f>
        <v>2066.66</v>
      </c>
      <c r="F260" s="1">
        <f ca="1">IFERROR(__xludf.DUMMYFUNCTION("""COMPUTED_VALUE"""),567330467)</f>
        <v>567330467</v>
      </c>
    </row>
    <row r="261" spans="1:6" ht="13" x14ac:dyDescent="0.15">
      <c r="A261" s="2">
        <f ca="1">IFERROR(__xludf.DUMMYFUNCTION("""COMPUTED_VALUE"""),42507.6666666666)</f>
        <v>42507.666666666599</v>
      </c>
      <c r="B261" s="1">
        <f ca="1">IFERROR(__xludf.DUMMYFUNCTION("""COMPUTED_VALUE"""),2065.04)</f>
        <v>2065.04</v>
      </c>
      <c r="C261" s="1">
        <f ca="1">IFERROR(__xludf.DUMMYFUNCTION("""COMPUTED_VALUE"""),2065.69)</f>
        <v>2065.69</v>
      </c>
      <c r="D261" s="1">
        <f ca="1">IFERROR(__xludf.DUMMYFUNCTION("""COMPUTED_VALUE"""),2040.82)</f>
        <v>2040.82</v>
      </c>
      <c r="E261" s="1">
        <f ca="1">IFERROR(__xludf.DUMMYFUNCTION("""COMPUTED_VALUE"""),2047.21)</f>
        <v>2047.21</v>
      </c>
      <c r="F261" s="1">
        <f ca="1">IFERROR(__xludf.DUMMYFUNCTION("""COMPUTED_VALUE"""),686681048)</f>
        <v>686681048</v>
      </c>
    </row>
    <row r="262" spans="1:6" ht="13" x14ac:dyDescent="0.15">
      <c r="A262" s="2">
        <f ca="1">IFERROR(__xludf.DUMMYFUNCTION("""COMPUTED_VALUE"""),42508.6666666666)</f>
        <v>42508.666666666599</v>
      </c>
      <c r="B262" s="1">
        <f ca="1">IFERROR(__xludf.DUMMYFUNCTION("""COMPUTED_VALUE"""),2044.38)</f>
        <v>2044.38</v>
      </c>
      <c r="C262" s="1">
        <f ca="1">IFERROR(__xludf.DUMMYFUNCTION("""COMPUTED_VALUE"""),2060.61)</f>
        <v>2060.61</v>
      </c>
      <c r="D262" s="1">
        <f ca="1">IFERROR(__xludf.DUMMYFUNCTION("""COMPUTED_VALUE"""),2034.49)</f>
        <v>2034.49</v>
      </c>
      <c r="E262" s="1">
        <f ca="1">IFERROR(__xludf.DUMMYFUNCTION("""COMPUTED_VALUE"""),2047.63)</f>
        <v>2047.63</v>
      </c>
      <c r="F262" s="1">
        <f ca="1">IFERROR(__xludf.DUMMYFUNCTION("""COMPUTED_VALUE"""),558156815)</f>
        <v>558156815</v>
      </c>
    </row>
    <row r="263" spans="1:6" ht="13" x14ac:dyDescent="0.15">
      <c r="A263" s="2">
        <f ca="1">IFERROR(__xludf.DUMMYFUNCTION("""COMPUTED_VALUE"""),42509.6666666666)</f>
        <v>42509.666666666599</v>
      </c>
      <c r="B263" s="1">
        <f ca="1">IFERROR(__xludf.DUMMYFUNCTION("""COMPUTED_VALUE"""),2044.21)</f>
        <v>2044.21</v>
      </c>
      <c r="C263" s="1">
        <f ca="1">IFERROR(__xludf.DUMMYFUNCTION("""COMPUTED_VALUE"""),2044.21)</f>
        <v>2044.21</v>
      </c>
      <c r="D263" s="1">
        <f ca="1">IFERROR(__xludf.DUMMYFUNCTION("""COMPUTED_VALUE"""),2025.91)</f>
        <v>2025.91</v>
      </c>
      <c r="E263" s="1">
        <f ca="1">IFERROR(__xludf.DUMMYFUNCTION("""COMPUTED_VALUE"""),2040.04)</f>
        <v>2040.04</v>
      </c>
      <c r="F263" s="1">
        <f ca="1">IFERROR(__xludf.DUMMYFUNCTION("""COMPUTED_VALUE"""),589913028)</f>
        <v>589913028</v>
      </c>
    </row>
    <row r="264" spans="1:6" ht="13" x14ac:dyDescent="0.15">
      <c r="A264" s="2">
        <f ca="1">IFERROR(__xludf.DUMMYFUNCTION("""COMPUTED_VALUE"""),42510.6666666666)</f>
        <v>42510.666666666599</v>
      </c>
      <c r="B264" s="1">
        <f ca="1">IFERROR(__xludf.DUMMYFUNCTION("""COMPUTED_VALUE"""),2041.88)</f>
        <v>2041.88</v>
      </c>
      <c r="C264" s="1">
        <f ca="1">IFERROR(__xludf.DUMMYFUNCTION("""COMPUTED_VALUE"""),2058.35)</f>
        <v>2058.35</v>
      </c>
      <c r="D264" s="1">
        <f ca="1">IFERROR(__xludf.DUMMYFUNCTION("""COMPUTED_VALUE"""),2041.88)</f>
        <v>2041.88</v>
      </c>
      <c r="E264" s="1">
        <f ca="1">IFERROR(__xludf.DUMMYFUNCTION("""COMPUTED_VALUE"""),2052.32)</f>
        <v>2052.3200000000002</v>
      </c>
      <c r="F264" s="1">
        <f ca="1">IFERROR(__xludf.DUMMYFUNCTION("""COMPUTED_VALUE"""),697842193)</f>
        <v>697842193</v>
      </c>
    </row>
    <row r="265" spans="1:6" ht="13" x14ac:dyDescent="0.15">
      <c r="A265" s="2">
        <f ca="1">IFERROR(__xludf.DUMMYFUNCTION("""COMPUTED_VALUE"""),42513.6666666666)</f>
        <v>42513.666666666599</v>
      </c>
      <c r="B265" s="1">
        <f ca="1">IFERROR(__xludf.DUMMYFUNCTION("""COMPUTED_VALUE"""),2052.23)</f>
        <v>2052.23</v>
      </c>
      <c r="C265" s="1">
        <f ca="1">IFERROR(__xludf.DUMMYFUNCTION("""COMPUTED_VALUE"""),2055.58)</f>
        <v>2055.58</v>
      </c>
      <c r="D265" s="1">
        <f ca="1">IFERROR(__xludf.DUMMYFUNCTION("""COMPUTED_VALUE"""),2047.26)</f>
        <v>2047.26</v>
      </c>
      <c r="E265" s="1">
        <f ca="1">IFERROR(__xludf.DUMMYFUNCTION("""COMPUTED_VALUE"""),2048.04)</f>
        <v>2048.04</v>
      </c>
      <c r="F265" s="1">
        <f ca="1">IFERROR(__xludf.DUMMYFUNCTION("""COMPUTED_VALUE"""),524841588)</f>
        <v>524841588</v>
      </c>
    </row>
    <row r="266" spans="1:6" ht="13" x14ac:dyDescent="0.15">
      <c r="A266" s="2">
        <f ca="1">IFERROR(__xludf.DUMMYFUNCTION("""COMPUTED_VALUE"""),42514.6666666666)</f>
        <v>42514.666666666599</v>
      </c>
      <c r="B266" s="1">
        <f ca="1">IFERROR(__xludf.DUMMYFUNCTION("""COMPUTED_VALUE"""),2052.65)</f>
        <v>2052.65</v>
      </c>
      <c r="C266" s="1">
        <f ca="1">IFERROR(__xludf.DUMMYFUNCTION("""COMPUTED_VALUE"""),2079.67)</f>
        <v>2079.67</v>
      </c>
      <c r="D266" s="1">
        <f ca="1">IFERROR(__xludf.DUMMYFUNCTION("""COMPUTED_VALUE"""),2052.65)</f>
        <v>2052.65</v>
      </c>
      <c r="E266" s="1">
        <f ca="1">IFERROR(__xludf.DUMMYFUNCTION("""COMPUTED_VALUE"""),2076.06)</f>
        <v>2076.06</v>
      </c>
      <c r="F266" s="1">
        <f ca="1">IFERROR(__xludf.DUMMYFUNCTION("""COMPUTED_VALUE"""),557588563)</f>
        <v>557588563</v>
      </c>
    </row>
    <row r="267" spans="1:6" ht="13" x14ac:dyDescent="0.15">
      <c r="A267" s="2">
        <f ca="1">IFERROR(__xludf.DUMMYFUNCTION("""COMPUTED_VALUE"""),42515.6666666666)</f>
        <v>42515.666666666599</v>
      </c>
      <c r="B267" s="1">
        <f ca="1">IFERROR(__xludf.DUMMYFUNCTION("""COMPUTED_VALUE"""),2078.93)</f>
        <v>2078.9299999999998</v>
      </c>
      <c r="C267" s="1">
        <f ca="1">IFERROR(__xludf.DUMMYFUNCTION("""COMPUTED_VALUE"""),2094.73)</f>
        <v>2094.73</v>
      </c>
      <c r="D267" s="1">
        <f ca="1">IFERROR(__xludf.DUMMYFUNCTION("""COMPUTED_VALUE"""),2078.93)</f>
        <v>2078.9299999999998</v>
      </c>
      <c r="E267" s="1">
        <f ca="1">IFERROR(__xludf.DUMMYFUNCTION("""COMPUTED_VALUE"""),2090.54)</f>
        <v>2090.54</v>
      </c>
      <c r="F267" s="1">
        <f ca="1">IFERROR(__xludf.DUMMYFUNCTION("""COMPUTED_VALUE"""),561669919)</f>
        <v>561669919</v>
      </c>
    </row>
    <row r="268" spans="1:6" ht="13" x14ac:dyDescent="0.15">
      <c r="A268" s="2">
        <f ca="1">IFERROR(__xludf.DUMMYFUNCTION("""COMPUTED_VALUE"""),42516.6666666666)</f>
        <v>42516.666666666599</v>
      </c>
      <c r="B268" s="1">
        <f ca="1">IFERROR(__xludf.DUMMYFUNCTION("""COMPUTED_VALUE"""),2091.44)</f>
        <v>2091.44</v>
      </c>
      <c r="C268" s="1">
        <f ca="1">IFERROR(__xludf.DUMMYFUNCTION("""COMPUTED_VALUE"""),2094.3)</f>
        <v>2094.3000000000002</v>
      </c>
      <c r="D268" s="1">
        <f ca="1">IFERROR(__xludf.DUMMYFUNCTION("""COMPUTED_VALUE"""),2087.08)</f>
        <v>2087.08</v>
      </c>
      <c r="E268" s="1">
        <f ca="1">IFERROR(__xludf.DUMMYFUNCTION("""COMPUTED_VALUE"""),2090.1)</f>
        <v>2090.1</v>
      </c>
      <c r="F268" s="1">
        <f ca="1">IFERROR(__xludf.DUMMYFUNCTION("""COMPUTED_VALUE"""),474138505)</f>
        <v>474138505</v>
      </c>
    </row>
    <row r="269" spans="1:6" ht="13" x14ac:dyDescent="0.15">
      <c r="A269" s="2">
        <f ca="1">IFERROR(__xludf.DUMMYFUNCTION("""COMPUTED_VALUE"""),42517.6666666666)</f>
        <v>42517.666666666599</v>
      </c>
      <c r="B269" s="1">
        <f ca="1">IFERROR(__xludf.DUMMYFUNCTION("""COMPUTED_VALUE"""),2090.06)</f>
        <v>2090.06</v>
      </c>
      <c r="C269" s="1">
        <f ca="1">IFERROR(__xludf.DUMMYFUNCTION("""COMPUTED_VALUE"""),2099.06)</f>
        <v>2099.06</v>
      </c>
      <c r="D269" s="1">
        <f ca="1">IFERROR(__xludf.DUMMYFUNCTION("""COMPUTED_VALUE"""),2090.06)</f>
        <v>2090.06</v>
      </c>
      <c r="E269" s="1">
        <f ca="1">IFERROR(__xludf.DUMMYFUNCTION("""COMPUTED_VALUE"""),2099.06)</f>
        <v>2099.06</v>
      </c>
      <c r="F269" s="1">
        <f ca="1">IFERROR(__xludf.DUMMYFUNCTION("""COMPUTED_VALUE"""),508493212)</f>
        <v>508493212</v>
      </c>
    </row>
    <row r="270" spans="1:6" ht="13" x14ac:dyDescent="0.15">
      <c r="A270" s="2">
        <f ca="1">IFERROR(__xludf.DUMMYFUNCTION("""COMPUTED_VALUE"""),42521.6666666666)</f>
        <v>42521.666666666599</v>
      </c>
      <c r="B270" s="1">
        <f ca="1">IFERROR(__xludf.DUMMYFUNCTION("""COMPUTED_VALUE"""),2100.13)</f>
        <v>2100.13</v>
      </c>
      <c r="C270" s="1">
        <f ca="1">IFERROR(__xludf.DUMMYFUNCTION("""COMPUTED_VALUE"""),2103.48)</f>
        <v>2103.48</v>
      </c>
      <c r="D270" s="1">
        <f ca="1">IFERROR(__xludf.DUMMYFUNCTION("""COMPUTED_VALUE"""),2088.66)</f>
        <v>2088.66</v>
      </c>
      <c r="E270" s="1">
        <f ca="1">IFERROR(__xludf.DUMMYFUNCTION("""COMPUTED_VALUE"""),2096.96)</f>
        <v>2096.96</v>
      </c>
      <c r="F270" s="1">
        <f ca="1">IFERROR(__xludf.DUMMYFUNCTION("""COMPUTED_VALUE"""),904459880)</f>
        <v>904459880</v>
      </c>
    </row>
    <row r="271" spans="1:6" ht="13" x14ac:dyDescent="0.15">
      <c r="A271" s="2">
        <f ca="1">IFERROR(__xludf.DUMMYFUNCTION("""COMPUTED_VALUE"""),42522.6666666666)</f>
        <v>42522.666666666599</v>
      </c>
      <c r="B271" s="1">
        <f ca="1">IFERROR(__xludf.DUMMYFUNCTION("""COMPUTED_VALUE"""),2093.94)</f>
        <v>2093.94</v>
      </c>
      <c r="C271" s="1">
        <f ca="1">IFERROR(__xludf.DUMMYFUNCTION("""COMPUTED_VALUE"""),2100.97)</f>
        <v>2100.9699999999998</v>
      </c>
      <c r="D271" s="1">
        <f ca="1">IFERROR(__xludf.DUMMYFUNCTION("""COMPUTED_VALUE"""),2085.1)</f>
        <v>2085.1</v>
      </c>
      <c r="E271" s="1">
        <f ca="1">IFERROR(__xludf.DUMMYFUNCTION("""COMPUTED_VALUE"""),2099.33)</f>
        <v>2099.33</v>
      </c>
      <c r="F271" s="1">
        <f ca="1">IFERROR(__xludf.DUMMYFUNCTION("""COMPUTED_VALUE"""),556851611)</f>
        <v>556851611</v>
      </c>
    </row>
    <row r="272" spans="1:6" ht="13" x14ac:dyDescent="0.15">
      <c r="A272" s="2">
        <f ca="1">IFERROR(__xludf.DUMMYFUNCTION("""COMPUTED_VALUE"""),42523.6666666666)</f>
        <v>42523.666666666599</v>
      </c>
      <c r="B272" s="1">
        <f ca="1">IFERROR(__xludf.DUMMYFUNCTION("""COMPUTED_VALUE"""),2097.71)</f>
        <v>2097.71</v>
      </c>
      <c r="C272" s="1">
        <f ca="1">IFERROR(__xludf.DUMMYFUNCTION("""COMPUTED_VALUE"""),2105.26)</f>
        <v>2105.2600000000002</v>
      </c>
      <c r="D272" s="1">
        <f ca="1">IFERROR(__xludf.DUMMYFUNCTION("""COMPUTED_VALUE"""),2088.59)</f>
        <v>2088.59</v>
      </c>
      <c r="E272" s="1">
        <f ca="1">IFERROR(__xludf.DUMMYFUNCTION("""COMPUTED_VALUE"""),2105.26)</f>
        <v>2105.2600000000002</v>
      </c>
      <c r="F272" s="1">
        <f ca="1">IFERROR(__xludf.DUMMYFUNCTION("""COMPUTED_VALUE"""),628062808)</f>
        <v>628062808</v>
      </c>
    </row>
    <row r="273" spans="1:6" ht="13" x14ac:dyDescent="0.15">
      <c r="A273" s="2">
        <f ca="1">IFERROR(__xludf.DUMMYFUNCTION("""COMPUTED_VALUE"""),42524.6666666666)</f>
        <v>42524.666666666599</v>
      </c>
      <c r="B273" s="1">
        <f ca="1">IFERROR(__xludf.DUMMYFUNCTION("""COMPUTED_VALUE"""),2104.07)</f>
        <v>2104.0700000000002</v>
      </c>
      <c r="C273" s="1">
        <f ca="1">IFERROR(__xludf.DUMMYFUNCTION("""COMPUTED_VALUE"""),2104.07)</f>
        <v>2104.0700000000002</v>
      </c>
      <c r="D273" s="1">
        <f ca="1">IFERROR(__xludf.DUMMYFUNCTION("""COMPUTED_VALUE"""),2085.36)</f>
        <v>2085.36</v>
      </c>
      <c r="E273" s="1">
        <f ca="1">IFERROR(__xludf.DUMMYFUNCTION("""COMPUTED_VALUE"""),2099.13)</f>
        <v>2099.13</v>
      </c>
      <c r="F273" s="1">
        <f ca="1">IFERROR(__xludf.DUMMYFUNCTION("""COMPUTED_VALUE"""),568033907)</f>
        <v>568033907</v>
      </c>
    </row>
    <row r="274" spans="1:6" ht="13" x14ac:dyDescent="0.15">
      <c r="A274" s="2">
        <f ca="1">IFERROR(__xludf.DUMMYFUNCTION("""COMPUTED_VALUE"""),42527.6666666666)</f>
        <v>42527.666666666599</v>
      </c>
      <c r="B274" s="1">
        <f ca="1">IFERROR(__xludf.DUMMYFUNCTION("""COMPUTED_VALUE"""),2100.83)</f>
        <v>2100.83</v>
      </c>
      <c r="C274" s="1">
        <f ca="1">IFERROR(__xludf.DUMMYFUNCTION("""COMPUTED_VALUE"""),2113.36)</f>
        <v>2113.36</v>
      </c>
      <c r="D274" s="1">
        <f ca="1">IFERROR(__xludf.DUMMYFUNCTION("""COMPUTED_VALUE"""),2100.83)</f>
        <v>2100.83</v>
      </c>
      <c r="E274" s="1">
        <f ca="1">IFERROR(__xludf.DUMMYFUNCTION("""COMPUTED_VALUE"""),2109.41)</f>
        <v>2109.41</v>
      </c>
      <c r="F274" s="1">
        <f ca="1">IFERROR(__xludf.DUMMYFUNCTION("""COMPUTED_VALUE"""),532939655)</f>
        <v>532939655</v>
      </c>
    </row>
    <row r="275" spans="1:6" ht="13" x14ac:dyDescent="0.15">
      <c r="A275" s="2">
        <f ca="1">IFERROR(__xludf.DUMMYFUNCTION("""COMPUTED_VALUE"""),42528.6666666666)</f>
        <v>42528.666666666599</v>
      </c>
      <c r="B275" s="1">
        <f ca="1">IFERROR(__xludf.DUMMYFUNCTION("""COMPUTED_VALUE"""),2110.18)</f>
        <v>2110.1799999999998</v>
      </c>
      <c r="C275" s="1">
        <f ca="1">IFERROR(__xludf.DUMMYFUNCTION("""COMPUTED_VALUE"""),2119.22)</f>
        <v>2119.2199999999998</v>
      </c>
      <c r="D275" s="1">
        <f ca="1">IFERROR(__xludf.DUMMYFUNCTION("""COMPUTED_VALUE"""),2110.18)</f>
        <v>2110.1799999999998</v>
      </c>
      <c r="E275" s="1">
        <f ca="1">IFERROR(__xludf.DUMMYFUNCTION("""COMPUTED_VALUE"""),2112.13)</f>
        <v>2112.13</v>
      </c>
      <c r="F275" s="1">
        <f ca="1">IFERROR(__xludf.DUMMYFUNCTION("""COMPUTED_VALUE"""),536131780)</f>
        <v>536131780</v>
      </c>
    </row>
    <row r="276" spans="1:6" ht="13" x14ac:dyDescent="0.15">
      <c r="A276" s="2">
        <f ca="1">IFERROR(__xludf.DUMMYFUNCTION("""COMPUTED_VALUE"""),42529.6666666666)</f>
        <v>42529.666666666599</v>
      </c>
      <c r="B276" s="1">
        <f ca="1">IFERROR(__xludf.DUMMYFUNCTION("""COMPUTED_VALUE"""),2112.71)</f>
        <v>2112.71</v>
      </c>
      <c r="C276" s="1">
        <f ca="1">IFERROR(__xludf.DUMMYFUNCTION("""COMPUTED_VALUE"""),2120.55)</f>
        <v>2120.5500000000002</v>
      </c>
      <c r="D276" s="1">
        <f ca="1">IFERROR(__xludf.DUMMYFUNCTION("""COMPUTED_VALUE"""),2112.71)</f>
        <v>2112.71</v>
      </c>
      <c r="E276" s="1">
        <f ca="1">IFERROR(__xludf.DUMMYFUNCTION("""COMPUTED_VALUE"""),2119.12)</f>
        <v>2119.12</v>
      </c>
      <c r="F276" s="1">
        <f ca="1">IFERROR(__xludf.DUMMYFUNCTION("""COMPUTED_VALUE"""),496867839)</f>
        <v>496867839</v>
      </c>
    </row>
    <row r="277" spans="1:6" ht="13" x14ac:dyDescent="0.15">
      <c r="A277" s="2">
        <f ca="1">IFERROR(__xludf.DUMMYFUNCTION("""COMPUTED_VALUE"""),42530.6666666666)</f>
        <v>42530.666666666599</v>
      </c>
      <c r="B277" s="1">
        <f ca="1">IFERROR(__xludf.DUMMYFUNCTION("""COMPUTED_VALUE"""),2115.65)</f>
        <v>2115.65</v>
      </c>
      <c r="C277" s="1">
        <f ca="1">IFERROR(__xludf.DUMMYFUNCTION("""COMPUTED_VALUE"""),2117.64)</f>
        <v>2117.64</v>
      </c>
      <c r="D277" s="1">
        <f ca="1">IFERROR(__xludf.DUMMYFUNCTION("""COMPUTED_VALUE"""),2107.73)</f>
        <v>2107.73</v>
      </c>
      <c r="E277" s="1">
        <f ca="1">IFERROR(__xludf.DUMMYFUNCTION("""COMPUTED_VALUE"""),2115.48)</f>
        <v>2115.48</v>
      </c>
      <c r="F277" s="1">
        <f ca="1">IFERROR(__xludf.DUMMYFUNCTION("""COMPUTED_VALUE"""),482637627)</f>
        <v>482637627</v>
      </c>
    </row>
    <row r="278" spans="1:6" ht="13" x14ac:dyDescent="0.15">
      <c r="A278" s="2">
        <f ca="1">IFERROR(__xludf.DUMMYFUNCTION("""COMPUTED_VALUE"""),42531.6666666666)</f>
        <v>42531.666666666599</v>
      </c>
      <c r="B278" s="1">
        <f ca="1">IFERROR(__xludf.DUMMYFUNCTION("""COMPUTED_VALUE"""),2109.57)</f>
        <v>2109.5700000000002</v>
      </c>
      <c r="C278" s="1">
        <f ca="1">IFERROR(__xludf.DUMMYFUNCTION("""COMPUTED_VALUE"""),2109.57)</f>
        <v>2109.5700000000002</v>
      </c>
      <c r="D278" s="1">
        <f ca="1">IFERROR(__xludf.DUMMYFUNCTION("""COMPUTED_VALUE"""),2089.96)</f>
        <v>2089.96</v>
      </c>
      <c r="E278" s="1">
        <f ca="1">IFERROR(__xludf.DUMMYFUNCTION("""COMPUTED_VALUE"""),2096.07)</f>
        <v>2096.0700000000002</v>
      </c>
      <c r="F278" s="1">
        <f ca="1">IFERROR(__xludf.DUMMYFUNCTION("""COMPUTED_VALUE"""),552199108)</f>
        <v>552199108</v>
      </c>
    </row>
    <row r="279" spans="1:6" ht="13" x14ac:dyDescent="0.15">
      <c r="A279" s="2">
        <f ca="1">IFERROR(__xludf.DUMMYFUNCTION("""COMPUTED_VALUE"""),42534.6666666666)</f>
        <v>42534.666666666599</v>
      </c>
      <c r="B279" s="1">
        <f ca="1">IFERROR(__xludf.DUMMYFUNCTION("""COMPUTED_VALUE"""),2091.75)</f>
        <v>2091.75</v>
      </c>
      <c r="C279" s="1">
        <f ca="1">IFERROR(__xludf.DUMMYFUNCTION("""COMPUTED_VALUE"""),2098.12)</f>
        <v>2098.12</v>
      </c>
      <c r="D279" s="1">
        <f ca="1">IFERROR(__xludf.DUMMYFUNCTION("""COMPUTED_VALUE"""),2078.46)</f>
        <v>2078.46</v>
      </c>
      <c r="E279" s="1">
        <f ca="1">IFERROR(__xludf.DUMMYFUNCTION("""COMPUTED_VALUE"""),2079.06)</f>
        <v>2079.06</v>
      </c>
      <c r="F279" s="1">
        <f ca="1">IFERROR(__xludf.DUMMYFUNCTION("""COMPUTED_VALUE"""),564040789)</f>
        <v>564040789</v>
      </c>
    </row>
    <row r="280" spans="1:6" ht="13" x14ac:dyDescent="0.15">
      <c r="A280" s="2">
        <f ca="1">IFERROR(__xludf.DUMMYFUNCTION("""COMPUTED_VALUE"""),42535.6666666666)</f>
        <v>42535.666666666599</v>
      </c>
      <c r="B280" s="1">
        <f ca="1">IFERROR(__xludf.DUMMYFUNCTION("""COMPUTED_VALUE"""),2076.65)</f>
        <v>2076.65</v>
      </c>
      <c r="C280" s="1">
        <f ca="1">IFERROR(__xludf.DUMMYFUNCTION("""COMPUTED_VALUE"""),2081.3)</f>
        <v>2081.3000000000002</v>
      </c>
      <c r="D280" s="1">
        <f ca="1">IFERROR(__xludf.DUMMYFUNCTION("""COMPUTED_VALUE"""),2064.1)</f>
        <v>2064.1</v>
      </c>
      <c r="E280" s="1">
        <f ca="1">IFERROR(__xludf.DUMMYFUNCTION("""COMPUTED_VALUE"""),2075.32)</f>
        <v>2075.3200000000002</v>
      </c>
      <c r="F280" s="1">
        <f ca="1">IFERROR(__xludf.DUMMYFUNCTION("""COMPUTED_VALUE"""),576788895)</f>
        <v>576788895</v>
      </c>
    </row>
    <row r="281" spans="1:6" ht="13" x14ac:dyDescent="0.15">
      <c r="A281" s="2">
        <f ca="1">IFERROR(__xludf.DUMMYFUNCTION("""COMPUTED_VALUE"""),42536.6666666666)</f>
        <v>42536.666666666599</v>
      </c>
      <c r="B281" s="1">
        <f ca="1">IFERROR(__xludf.DUMMYFUNCTION("""COMPUTED_VALUE"""),2077.6)</f>
        <v>2077.6</v>
      </c>
      <c r="C281" s="1">
        <f ca="1">IFERROR(__xludf.DUMMYFUNCTION("""COMPUTED_VALUE"""),2085.65)</f>
        <v>2085.65</v>
      </c>
      <c r="D281" s="1">
        <f ca="1">IFERROR(__xludf.DUMMYFUNCTION("""COMPUTED_VALUE"""),2069.8)</f>
        <v>2069.8000000000002</v>
      </c>
      <c r="E281" s="1">
        <f ca="1">IFERROR(__xludf.DUMMYFUNCTION("""COMPUTED_VALUE"""),2071.5)</f>
        <v>2071.5</v>
      </c>
      <c r="F281" s="1">
        <f ca="1">IFERROR(__xludf.DUMMYFUNCTION("""COMPUTED_VALUE"""),575938354)</f>
        <v>575938354</v>
      </c>
    </row>
    <row r="282" spans="1:6" ht="13" x14ac:dyDescent="0.15">
      <c r="A282" s="2">
        <f ca="1">IFERROR(__xludf.DUMMYFUNCTION("""COMPUTED_VALUE"""),42537.6666666666)</f>
        <v>42537.666666666599</v>
      </c>
      <c r="B282" s="1">
        <f ca="1">IFERROR(__xludf.DUMMYFUNCTION("""COMPUTED_VALUE"""),2066.36)</f>
        <v>2066.36</v>
      </c>
      <c r="C282" s="1">
        <f ca="1">IFERROR(__xludf.DUMMYFUNCTION("""COMPUTED_VALUE"""),2079.62)</f>
        <v>2079.62</v>
      </c>
      <c r="D282" s="1">
        <f ca="1">IFERROR(__xludf.DUMMYFUNCTION("""COMPUTED_VALUE"""),2050.37)</f>
        <v>2050.37</v>
      </c>
      <c r="E282" s="1">
        <f ca="1">IFERROR(__xludf.DUMMYFUNCTION("""COMPUTED_VALUE"""),2077.99)</f>
        <v>2077.9899999999998</v>
      </c>
      <c r="F282" s="1">
        <f ca="1">IFERROR(__xludf.DUMMYFUNCTION("""COMPUTED_VALUE"""),552019076)</f>
        <v>552019076</v>
      </c>
    </row>
    <row r="283" spans="1:6" ht="13" x14ac:dyDescent="0.15">
      <c r="A283" s="2">
        <f ca="1">IFERROR(__xludf.DUMMYFUNCTION("""COMPUTED_VALUE"""),42538.6666666666)</f>
        <v>42538.666666666599</v>
      </c>
      <c r="B283" s="1">
        <f ca="1">IFERROR(__xludf.DUMMYFUNCTION("""COMPUTED_VALUE"""),2078.2)</f>
        <v>2078.1999999999998</v>
      </c>
      <c r="C283" s="1">
        <f ca="1">IFERROR(__xludf.DUMMYFUNCTION("""COMPUTED_VALUE"""),2078.2)</f>
        <v>2078.1999999999998</v>
      </c>
      <c r="D283" s="1">
        <f ca="1">IFERROR(__xludf.DUMMYFUNCTION("""COMPUTED_VALUE"""),2062.84)</f>
        <v>2062.84</v>
      </c>
      <c r="E283" s="1">
        <f ca="1">IFERROR(__xludf.DUMMYFUNCTION("""COMPUTED_VALUE"""),2071.22)</f>
        <v>2071.2199999999998</v>
      </c>
      <c r="F283" s="1">
        <f ca="1">IFERROR(__xludf.DUMMYFUNCTION("""COMPUTED_VALUE"""),227609273)</f>
        <v>227609273</v>
      </c>
    </row>
    <row r="284" spans="1:6" ht="13" x14ac:dyDescent="0.15">
      <c r="A284" s="2">
        <f ca="1">IFERROR(__xludf.DUMMYFUNCTION("""COMPUTED_VALUE"""),42541.6666666666)</f>
        <v>42541.666666666599</v>
      </c>
      <c r="B284" s="1">
        <f ca="1">IFERROR(__xludf.DUMMYFUNCTION("""COMPUTED_VALUE"""),2075.58)</f>
        <v>2075.58</v>
      </c>
      <c r="C284" s="1">
        <f ca="1">IFERROR(__xludf.DUMMYFUNCTION("""COMPUTED_VALUE"""),2100.66)</f>
        <v>2100.66</v>
      </c>
      <c r="D284" s="1">
        <f ca="1">IFERROR(__xludf.DUMMYFUNCTION("""COMPUTED_VALUE"""),2075.58)</f>
        <v>2075.58</v>
      </c>
      <c r="E284" s="1">
        <f ca="1">IFERROR(__xludf.DUMMYFUNCTION("""COMPUTED_VALUE"""),2083.25)</f>
        <v>2083.25</v>
      </c>
      <c r="F284" s="1">
        <f ca="1">IFERROR(__xludf.DUMMYFUNCTION("""COMPUTED_VALUE"""),598150842)</f>
        <v>598150842</v>
      </c>
    </row>
    <row r="285" spans="1:6" ht="13" x14ac:dyDescent="0.15">
      <c r="A285" s="2">
        <f ca="1">IFERROR(__xludf.DUMMYFUNCTION("""COMPUTED_VALUE"""),42542.6666666666)</f>
        <v>42542.666666666599</v>
      </c>
      <c r="B285" s="1">
        <f ca="1">IFERROR(__xludf.DUMMYFUNCTION("""COMPUTED_VALUE"""),2085.19)</f>
        <v>2085.19</v>
      </c>
      <c r="C285" s="1">
        <f ca="1">IFERROR(__xludf.DUMMYFUNCTION("""COMPUTED_VALUE"""),2093.66)</f>
        <v>2093.66</v>
      </c>
      <c r="D285" s="1">
        <f ca="1">IFERROR(__xludf.DUMMYFUNCTION("""COMPUTED_VALUE"""),2083.02)</f>
        <v>2083.02</v>
      </c>
      <c r="E285" s="1">
        <f ca="1">IFERROR(__xludf.DUMMYFUNCTION("""COMPUTED_VALUE"""),2088.9)</f>
        <v>2088.9</v>
      </c>
      <c r="F285" s="1">
        <f ca="1">IFERROR(__xludf.DUMMYFUNCTION("""COMPUTED_VALUE"""),537088649)</f>
        <v>537088649</v>
      </c>
    </row>
    <row r="286" spans="1:6" ht="13" x14ac:dyDescent="0.15">
      <c r="A286" s="2">
        <f ca="1">IFERROR(__xludf.DUMMYFUNCTION("""COMPUTED_VALUE"""),42543.6666666666)</f>
        <v>42543.666666666599</v>
      </c>
      <c r="B286" s="1">
        <f ca="1">IFERROR(__xludf.DUMMYFUNCTION("""COMPUTED_VALUE"""),2089.75)</f>
        <v>2089.75</v>
      </c>
      <c r="C286" s="1">
        <f ca="1">IFERROR(__xludf.DUMMYFUNCTION("""COMPUTED_VALUE"""),2099.71)</f>
        <v>2099.71</v>
      </c>
      <c r="D286" s="1">
        <f ca="1">IFERROR(__xludf.DUMMYFUNCTION("""COMPUTED_VALUE"""),2084.36)</f>
        <v>2084.36</v>
      </c>
      <c r="E286" s="1">
        <f ca="1">IFERROR(__xludf.DUMMYFUNCTION("""COMPUTED_VALUE"""),2085.45)</f>
        <v>2085.4499999999998</v>
      </c>
      <c r="F286" s="1">
        <f ca="1">IFERROR(__xludf.DUMMYFUNCTION("""COMPUTED_VALUE"""),519438852)</f>
        <v>519438852</v>
      </c>
    </row>
    <row r="287" spans="1:6" ht="13" x14ac:dyDescent="0.15">
      <c r="A287" s="2">
        <f ca="1">IFERROR(__xludf.DUMMYFUNCTION("""COMPUTED_VALUE"""),42544.6666666666)</f>
        <v>42544.666666666599</v>
      </c>
      <c r="B287" s="1">
        <f ca="1">IFERROR(__xludf.DUMMYFUNCTION("""COMPUTED_VALUE"""),2092.8)</f>
        <v>2092.8000000000002</v>
      </c>
      <c r="C287" s="1">
        <f ca="1">IFERROR(__xludf.DUMMYFUNCTION("""COMPUTED_VALUE"""),2113.32)</f>
        <v>2113.3200000000002</v>
      </c>
      <c r="D287" s="1">
        <f ca="1">IFERROR(__xludf.DUMMYFUNCTION("""COMPUTED_VALUE"""),2092.8)</f>
        <v>2092.8000000000002</v>
      </c>
      <c r="E287" s="1">
        <f ca="1">IFERROR(__xludf.DUMMYFUNCTION("""COMPUTED_VALUE"""),2113.32)</f>
        <v>2113.3200000000002</v>
      </c>
      <c r="F287" s="1">
        <f ca="1">IFERROR(__xludf.DUMMYFUNCTION("""COMPUTED_VALUE"""),525308203)</f>
        <v>525308203</v>
      </c>
    </row>
    <row r="288" spans="1:6" ht="13" x14ac:dyDescent="0.15">
      <c r="A288" s="2">
        <f ca="1">IFERROR(__xludf.DUMMYFUNCTION("""COMPUTED_VALUE"""),42545.6666666666)</f>
        <v>42545.666666666599</v>
      </c>
      <c r="B288" s="1">
        <f ca="1">IFERROR(__xludf.DUMMYFUNCTION("""COMPUTED_VALUE"""),2103.81)</f>
        <v>2103.81</v>
      </c>
      <c r="C288" s="1">
        <f ca="1">IFERROR(__xludf.DUMMYFUNCTION("""COMPUTED_VALUE"""),2103.81)</f>
        <v>2103.81</v>
      </c>
      <c r="D288" s="1">
        <f ca="1">IFERROR(__xludf.DUMMYFUNCTION("""COMPUTED_VALUE"""),2032.57)</f>
        <v>2032.57</v>
      </c>
      <c r="E288" s="1">
        <f ca="1">IFERROR(__xludf.DUMMYFUNCTION("""COMPUTED_VALUE"""),2037.41)</f>
        <v>2037.41</v>
      </c>
      <c r="F288" s="1">
        <f ca="1">IFERROR(__xludf.DUMMYFUNCTION("""COMPUTED_VALUE"""),330155996)</f>
        <v>330155996</v>
      </c>
    </row>
    <row r="289" spans="1:6" ht="13" x14ac:dyDescent="0.15">
      <c r="A289" s="2">
        <f ca="1">IFERROR(__xludf.DUMMYFUNCTION("""COMPUTED_VALUE"""),42548.6666666666)</f>
        <v>42548.666666666599</v>
      </c>
      <c r="B289" s="1">
        <f ca="1">IFERROR(__xludf.DUMMYFUNCTION("""COMPUTED_VALUE"""),2031.45)</f>
        <v>2031.45</v>
      </c>
      <c r="C289" s="1">
        <f ca="1">IFERROR(__xludf.DUMMYFUNCTION("""COMPUTED_VALUE"""),2031.45)</f>
        <v>2031.45</v>
      </c>
      <c r="D289" s="1">
        <f ca="1">IFERROR(__xludf.DUMMYFUNCTION("""COMPUTED_VALUE"""),1991.68)</f>
        <v>1991.68</v>
      </c>
      <c r="E289" s="1">
        <f ca="1">IFERROR(__xludf.DUMMYFUNCTION("""COMPUTED_VALUE"""),2000.54)</f>
        <v>2000.54</v>
      </c>
      <c r="F289" s="1">
        <f ca="1">IFERROR(__xludf.DUMMYFUNCTION("""COMPUTED_VALUE"""),882683687)</f>
        <v>882683687</v>
      </c>
    </row>
    <row r="290" spans="1:6" ht="13" x14ac:dyDescent="0.15">
      <c r="A290" s="2">
        <f ca="1">IFERROR(__xludf.DUMMYFUNCTION("""COMPUTED_VALUE"""),42549.6666666666)</f>
        <v>42549.666666666599</v>
      </c>
      <c r="B290" s="1">
        <f ca="1">IFERROR(__xludf.DUMMYFUNCTION("""COMPUTED_VALUE"""),2006.67)</f>
        <v>2006.67</v>
      </c>
      <c r="C290" s="1">
        <f ca="1">IFERROR(__xludf.DUMMYFUNCTION("""COMPUTED_VALUE"""),2036.09)</f>
        <v>2036.09</v>
      </c>
      <c r="D290" s="1">
        <f ca="1">IFERROR(__xludf.DUMMYFUNCTION("""COMPUTED_VALUE"""),2006.67)</f>
        <v>2006.67</v>
      </c>
      <c r="E290" s="1">
        <f ca="1">IFERROR(__xludf.DUMMYFUNCTION("""COMPUTED_VALUE"""),2036.09)</f>
        <v>2036.09</v>
      </c>
      <c r="F290" s="1">
        <f ca="1">IFERROR(__xludf.DUMMYFUNCTION("""COMPUTED_VALUE"""),718967504)</f>
        <v>718967504</v>
      </c>
    </row>
    <row r="291" spans="1:6" ht="13" x14ac:dyDescent="0.15">
      <c r="A291" s="2">
        <f ca="1">IFERROR(__xludf.DUMMYFUNCTION("""COMPUTED_VALUE"""),42550.6666666666)</f>
        <v>42550.666666666599</v>
      </c>
      <c r="B291" s="1">
        <f ca="1">IFERROR(__xludf.DUMMYFUNCTION("""COMPUTED_VALUE"""),2042.69)</f>
        <v>2042.69</v>
      </c>
      <c r="C291" s="1">
        <f ca="1">IFERROR(__xludf.DUMMYFUNCTION("""COMPUTED_VALUE"""),2073.13)</f>
        <v>2073.13</v>
      </c>
      <c r="D291" s="1">
        <f ca="1">IFERROR(__xludf.DUMMYFUNCTION("""COMPUTED_VALUE"""),2042.69)</f>
        <v>2042.69</v>
      </c>
      <c r="E291" s="1">
        <f ca="1">IFERROR(__xludf.DUMMYFUNCTION("""COMPUTED_VALUE"""),2070.77)</f>
        <v>2070.77</v>
      </c>
      <c r="F291" s="1">
        <f ca="1">IFERROR(__xludf.DUMMYFUNCTION("""COMPUTED_VALUE"""),691858050)</f>
        <v>691858050</v>
      </c>
    </row>
    <row r="292" spans="1:6" ht="13" x14ac:dyDescent="0.15">
      <c r="A292" s="2">
        <f ca="1">IFERROR(__xludf.DUMMYFUNCTION("""COMPUTED_VALUE"""),42551.6666666666)</f>
        <v>42551.666666666599</v>
      </c>
      <c r="B292" s="1">
        <f ca="1">IFERROR(__xludf.DUMMYFUNCTION("""COMPUTED_VALUE"""),2073.17)</f>
        <v>2073.17</v>
      </c>
      <c r="C292" s="1">
        <f ca="1">IFERROR(__xludf.DUMMYFUNCTION("""COMPUTED_VALUE"""),2098.94)</f>
        <v>2098.94</v>
      </c>
      <c r="D292" s="1">
        <f ca="1">IFERROR(__xludf.DUMMYFUNCTION("""COMPUTED_VALUE"""),2070)</f>
        <v>2070</v>
      </c>
      <c r="E292" s="1">
        <f ca="1">IFERROR(__xludf.DUMMYFUNCTION("""COMPUTED_VALUE"""),2098.86)</f>
        <v>2098.86</v>
      </c>
      <c r="F292" s="1">
        <f ca="1">IFERROR(__xludf.DUMMYFUNCTION("""COMPUTED_VALUE"""),892556858)</f>
        <v>892556858</v>
      </c>
    </row>
    <row r="293" spans="1:6" ht="13" x14ac:dyDescent="0.15">
      <c r="A293" s="2">
        <f ca="1">IFERROR(__xludf.DUMMYFUNCTION("""COMPUTED_VALUE"""),42552.6666666666)</f>
        <v>42552.666666666599</v>
      </c>
      <c r="B293" s="1">
        <f ca="1">IFERROR(__xludf.DUMMYFUNCTION("""COMPUTED_VALUE"""),2099.34)</f>
        <v>2099.34</v>
      </c>
      <c r="C293" s="1">
        <f ca="1">IFERROR(__xludf.DUMMYFUNCTION("""COMPUTED_VALUE"""),2108.71)</f>
        <v>2108.71</v>
      </c>
      <c r="D293" s="1">
        <f ca="1">IFERROR(__xludf.DUMMYFUNCTION("""COMPUTED_VALUE"""),2097.9)</f>
        <v>2097.9</v>
      </c>
      <c r="E293" s="1">
        <f ca="1">IFERROR(__xludf.DUMMYFUNCTION("""COMPUTED_VALUE"""),2102.95)</f>
        <v>2102.9499999999998</v>
      </c>
      <c r="F293" s="1">
        <f ca="1">IFERROR(__xludf.DUMMYFUNCTION("""COMPUTED_VALUE"""),551736343)</f>
        <v>551736343</v>
      </c>
    </row>
    <row r="294" spans="1:6" ht="13" x14ac:dyDescent="0.15">
      <c r="A294" s="2">
        <f ca="1">IFERROR(__xludf.DUMMYFUNCTION("""COMPUTED_VALUE"""),42556.6666666666)</f>
        <v>42556.666666666599</v>
      </c>
      <c r="B294" s="1">
        <f ca="1">IFERROR(__xludf.DUMMYFUNCTION("""COMPUTED_VALUE"""),2095.05)</f>
        <v>2095.0500000000002</v>
      </c>
      <c r="C294" s="1">
        <f ca="1">IFERROR(__xludf.DUMMYFUNCTION("""COMPUTED_VALUE"""),2095.05)</f>
        <v>2095.0500000000002</v>
      </c>
      <c r="D294" s="1">
        <f ca="1">IFERROR(__xludf.DUMMYFUNCTION("""COMPUTED_VALUE"""),2080.86)</f>
        <v>2080.86</v>
      </c>
      <c r="E294" s="1">
        <f ca="1">IFERROR(__xludf.DUMMYFUNCTION("""COMPUTED_VALUE"""),2088.55)</f>
        <v>2088.5500000000002</v>
      </c>
      <c r="F294" s="1">
        <f ca="1">IFERROR(__xludf.DUMMYFUNCTION("""COMPUTED_VALUE"""),650706103)</f>
        <v>650706103</v>
      </c>
    </row>
    <row r="295" spans="1:6" ht="13" x14ac:dyDescent="0.15">
      <c r="A295" s="2">
        <f ca="1">IFERROR(__xludf.DUMMYFUNCTION("""COMPUTED_VALUE"""),42557.6666666666)</f>
        <v>42557.666666666599</v>
      </c>
      <c r="B295" s="1">
        <f ca="1">IFERROR(__xludf.DUMMYFUNCTION("""COMPUTED_VALUE"""),2084.43)</f>
        <v>2084.4299999999998</v>
      </c>
      <c r="C295" s="1">
        <f ca="1">IFERROR(__xludf.DUMMYFUNCTION("""COMPUTED_VALUE"""),2100.72)</f>
        <v>2100.7199999999998</v>
      </c>
      <c r="D295" s="1">
        <f ca="1">IFERROR(__xludf.DUMMYFUNCTION("""COMPUTED_VALUE"""),2074.02)</f>
        <v>2074.02</v>
      </c>
      <c r="E295" s="1">
        <f ca="1">IFERROR(__xludf.DUMMYFUNCTION("""COMPUTED_VALUE"""),2099.73)</f>
        <v>2099.73</v>
      </c>
      <c r="F295" s="1">
        <f ca="1">IFERROR(__xludf.DUMMYFUNCTION("""COMPUTED_VALUE"""),649649070)</f>
        <v>649649070</v>
      </c>
    </row>
    <row r="296" spans="1:6" ht="13" x14ac:dyDescent="0.15">
      <c r="A296" s="2">
        <f ca="1">IFERROR(__xludf.DUMMYFUNCTION("""COMPUTED_VALUE"""),42558.6666666666)</f>
        <v>42558.666666666599</v>
      </c>
      <c r="B296" s="1">
        <f ca="1">IFERROR(__xludf.DUMMYFUNCTION("""COMPUTED_VALUE"""),2100.42)</f>
        <v>2100.42</v>
      </c>
      <c r="C296" s="1">
        <f ca="1">IFERROR(__xludf.DUMMYFUNCTION("""COMPUTED_VALUE"""),2109.08)</f>
        <v>2109.08</v>
      </c>
      <c r="D296" s="1">
        <f ca="1">IFERROR(__xludf.DUMMYFUNCTION("""COMPUTED_VALUE"""),2089.39)</f>
        <v>2089.39</v>
      </c>
      <c r="E296" s="1">
        <f ca="1">IFERROR(__xludf.DUMMYFUNCTION("""COMPUTED_VALUE"""),2097.9)</f>
        <v>2097.9</v>
      </c>
      <c r="F296" s="1">
        <f ca="1">IFERROR(__xludf.DUMMYFUNCTION("""COMPUTED_VALUE"""),546432231)</f>
        <v>546432231</v>
      </c>
    </row>
    <row r="297" spans="1:6" ht="13" x14ac:dyDescent="0.15">
      <c r="A297" s="2">
        <f ca="1">IFERROR(__xludf.DUMMYFUNCTION("""COMPUTED_VALUE"""),42559.6666666666)</f>
        <v>42559.666666666599</v>
      </c>
      <c r="B297" s="1">
        <f ca="1">IFERROR(__xludf.DUMMYFUNCTION("""COMPUTED_VALUE"""),2106.97)</f>
        <v>2106.9699999999998</v>
      </c>
      <c r="C297" s="1">
        <f ca="1">IFERROR(__xludf.DUMMYFUNCTION("""COMPUTED_VALUE"""),2131.71)</f>
        <v>2131.71</v>
      </c>
      <c r="D297" s="1">
        <f ca="1">IFERROR(__xludf.DUMMYFUNCTION("""COMPUTED_VALUE"""),2106.97)</f>
        <v>2106.9699999999998</v>
      </c>
      <c r="E297" s="1">
        <f ca="1">IFERROR(__xludf.DUMMYFUNCTION("""COMPUTED_VALUE"""),2129.9)</f>
        <v>2129.9</v>
      </c>
      <c r="F297" s="1">
        <f ca="1">IFERROR(__xludf.DUMMYFUNCTION("""COMPUTED_VALUE"""),597242128)</f>
        <v>597242128</v>
      </c>
    </row>
    <row r="298" spans="1:6" ht="13" x14ac:dyDescent="0.15">
      <c r="A298" s="2">
        <f ca="1">IFERROR(__xludf.DUMMYFUNCTION("""COMPUTED_VALUE"""),42562.6666666666)</f>
        <v>42562.666666666599</v>
      </c>
      <c r="B298" s="1">
        <f ca="1">IFERROR(__xludf.DUMMYFUNCTION("""COMPUTED_VALUE"""),2131.72)</f>
        <v>2131.7199999999998</v>
      </c>
      <c r="C298" s="1">
        <f ca="1">IFERROR(__xludf.DUMMYFUNCTION("""COMPUTED_VALUE"""),2143.16)</f>
        <v>2143.16</v>
      </c>
      <c r="D298" s="1">
        <f ca="1">IFERROR(__xludf.DUMMYFUNCTION("""COMPUTED_VALUE"""),2131.72)</f>
        <v>2131.7199999999998</v>
      </c>
      <c r="E298" s="1">
        <f ca="1">IFERROR(__xludf.DUMMYFUNCTION("""COMPUTED_VALUE"""),2137.16)</f>
        <v>2137.16</v>
      </c>
      <c r="F298" s="1">
        <f ca="1">IFERROR(__xludf.DUMMYFUNCTION("""COMPUTED_VALUE"""),514370297)</f>
        <v>514370297</v>
      </c>
    </row>
    <row r="299" spans="1:6" ht="13" x14ac:dyDescent="0.15">
      <c r="A299" s="2">
        <f ca="1">IFERROR(__xludf.DUMMYFUNCTION("""COMPUTED_VALUE"""),42563.6666666666)</f>
        <v>42563.666666666599</v>
      </c>
      <c r="B299" s="1">
        <f ca="1">IFERROR(__xludf.DUMMYFUNCTION("""COMPUTED_VALUE"""),2139.5)</f>
        <v>2139.5</v>
      </c>
      <c r="C299" s="1">
        <f ca="1">IFERROR(__xludf.DUMMYFUNCTION("""COMPUTED_VALUE"""),2155.4)</f>
        <v>2155.4</v>
      </c>
      <c r="D299" s="1">
        <f ca="1">IFERROR(__xludf.DUMMYFUNCTION("""COMPUTED_VALUE"""),2139.5)</f>
        <v>2139.5</v>
      </c>
      <c r="E299" s="1">
        <f ca="1">IFERROR(__xludf.DUMMYFUNCTION("""COMPUTED_VALUE"""),2152.14)</f>
        <v>2152.14</v>
      </c>
      <c r="F299" s="1">
        <f ca="1">IFERROR(__xludf.DUMMYFUNCTION("""COMPUTED_VALUE"""),599252738)</f>
        <v>599252738</v>
      </c>
    </row>
    <row r="300" spans="1:6" ht="13" x14ac:dyDescent="0.15">
      <c r="A300" s="2">
        <f ca="1">IFERROR(__xludf.DUMMYFUNCTION("""COMPUTED_VALUE"""),42564.6666666666)</f>
        <v>42564.666666666599</v>
      </c>
      <c r="B300" s="1">
        <f ca="1">IFERROR(__xludf.DUMMYFUNCTION("""COMPUTED_VALUE"""),2153.81)</f>
        <v>2153.81</v>
      </c>
      <c r="C300" s="1">
        <f ca="1">IFERROR(__xludf.DUMMYFUNCTION("""COMPUTED_VALUE"""),2156.45)</f>
        <v>2156.4499999999998</v>
      </c>
      <c r="D300" s="1">
        <f ca="1">IFERROR(__xludf.DUMMYFUNCTION("""COMPUTED_VALUE"""),2146.21)</f>
        <v>2146.21</v>
      </c>
      <c r="E300" s="1">
        <f ca="1">IFERROR(__xludf.DUMMYFUNCTION("""COMPUTED_VALUE"""),2152.43)</f>
        <v>2152.4299999999998</v>
      </c>
      <c r="F300" s="1">
        <f ca="1">IFERROR(__xludf.DUMMYFUNCTION("""COMPUTED_VALUE"""),514541411)</f>
        <v>514541411</v>
      </c>
    </row>
    <row r="301" spans="1:6" ht="13" x14ac:dyDescent="0.15">
      <c r="A301" s="2">
        <f ca="1">IFERROR(__xludf.DUMMYFUNCTION("""COMPUTED_VALUE"""),42565.6666666666)</f>
        <v>42565.666666666599</v>
      </c>
      <c r="B301" s="1">
        <f ca="1">IFERROR(__xludf.DUMMYFUNCTION("""COMPUTED_VALUE"""),2157.88)</f>
        <v>2157.88</v>
      </c>
      <c r="C301" s="1">
        <f ca="1">IFERROR(__xludf.DUMMYFUNCTION("""COMPUTED_VALUE"""),2168.99)</f>
        <v>2168.9899999999998</v>
      </c>
      <c r="D301" s="1">
        <f ca="1">IFERROR(__xludf.DUMMYFUNCTION("""COMPUTED_VALUE"""),2157.88)</f>
        <v>2157.88</v>
      </c>
      <c r="E301" s="1">
        <f ca="1">IFERROR(__xludf.DUMMYFUNCTION("""COMPUTED_VALUE"""),2163.75)</f>
        <v>2163.75</v>
      </c>
      <c r="F301" s="1">
        <f ca="1">IFERROR(__xludf.DUMMYFUNCTION("""COMPUTED_VALUE"""),530310298)</f>
        <v>530310298</v>
      </c>
    </row>
    <row r="302" spans="1:6" ht="13" x14ac:dyDescent="0.15">
      <c r="A302" s="2">
        <f ca="1">IFERROR(__xludf.DUMMYFUNCTION("""COMPUTED_VALUE"""),42566.6666666666)</f>
        <v>42566.666666666599</v>
      </c>
      <c r="B302" s="1">
        <f ca="1">IFERROR(__xludf.DUMMYFUNCTION("""COMPUTED_VALUE"""),2165.13)</f>
        <v>2165.13</v>
      </c>
      <c r="C302" s="1">
        <f ca="1">IFERROR(__xludf.DUMMYFUNCTION("""COMPUTED_VALUE"""),2169.05)</f>
        <v>2169.0500000000002</v>
      </c>
      <c r="D302" s="1">
        <f ca="1">IFERROR(__xludf.DUMMYFUNCTION("""COMPUTED_VALUE"""),2155.79)</f>
        <v>2155.79</v>
      </c>
      <c r="E302" s="1">
        <f ca="1">IFERROR(__xludf.DUMMYFUNCTION("""COMPUTED_VALUE"""),2161.74)</f>
        <v>2161.7399999999998</v>
      </c>
      <c r="F302" s="1">
        <f ca="1">IFERROR(__xludf.DUMMYFUNCTION("""COMPUTED_VALUE"""),643101106)</f>
        <v>643101106</v>
      </c>
    </row>
    <row r="303" spans="1:6" ht="13" x14ac:dyDescent="0.15">
      <c r="A303" s="2">
        <f ca="1">IFERROR(__xludf.DUMMYFUNCTION("""COMPUTED_VALUE"""),42569.6666666666)</f>
        <v>42569.666666666599</v>
      </c>
      <c r="B303" s="1">
        <f ca="1">IFERROR(__xludf.DUMMYFUNCTION("""COMPUTED_VALUE"""),2162.04)</f>
        <v>2162.04</v>
      </c>
      <c r="C303" s="1">
        <f ca="1">IFERROR(__xludf.DUMMYFUNCTION("""COMPUTED_VALUE"""),2168.35)</f>
        <v>2168.35</v>
      </c>
      <c r="D303" s="1">
        <f ca="1">IFERROR(__xludf.DUMMYFUNCTION("""COMPUTED_VALUE"""),2159.63)</f>
        <v>2159.63</v>
      </c>
      <c r="E303" s="1">
        <f ca="1">IFERROR(__xludf.DUMMYFUNCTION("""COMPUTED_VALUE"""),2166.89)</f>
        <v>2166.89</v>
      </c>
      <c r="F303" s="1">
        <f ca="1">IFERROR(__xludf.DUMMYFUNCTION("""COMPUTED_VALUE"""),478404253)</f>
        <v>478404253</v>
      </c>
    </row>
    <row r="304" spans="1:6" ht="13" x14ac:dyDescent="0.15">
      <c r="A304" s="2">
        <f ca="1">IFERROR(__xludf.DUMMYFUNCTION("""COMPUTED_VALUE"""),42570.6666666666)</f>
        <v>42570.666666666599</v>
      </c>
      <c r="B304" s="1">
        <f ca="1">IFERROR(__xludf.DUMMYFUNCTION("""COMPUTED_VALUE"""),2163.79)</f>
        <v>2163.79</v>
      </c>
      <c r="C304" s="1">
        <f ca="1">IFERROR(__xludf.DUMMYFUNCTION("""COMPUTED_VALUE"""),2164.63)</f>
        <v>2164.63</v>
      </c>
      <c r="D304" s="1">
        <f ca="1">IFERROR(__xludf.DUMMYFUNCTION("""COMPUTED_VALUE"""),2159.01)</f>
        <v>2159.0100000000002</v>
      </c>
      <c r="E304" s="1">
        <f ca="1">IFERROR(__xludf.DUMMYFUNCTION("""COMPUTED_VALUE"""),2163.78)</f>
        <v>2163.7800000000002</v>
      </c>
      <c r="F304" s="1">
        <f ca="1">IFERROR(__xludf.DUMMYFUNCTION("""COMPUTED_VALUE"""),516605607)</f>
        <v>516605607</v>
      </c>
    </row>
    <row r="305" spans="1:6" ht="13" x14ac:dyDescent="0.15">
      <c r="A305" s="2">
        <f ca="1">IFERROR(__xludf.DUMMYFUNCTION("""COMPUTED_VALUE"""),42571.6666666666)</f>
        <v>42571.666666666599</v>
      </c>
      <c r="B305" s="1">
        <f ca="1">IFERROR(__xludf.DUMMYFUNCTION("""COMPUTED_VALUE"""),2166.1)</f>
        <v>2166.1</v>
      </c>
      <c r="C305" s="1">
        <f ca="1">IFERROR(__xludf.DUMMYFUNCTION("""COMPUTED_VALUE"""),2175.63)</f>
        <v>2175.63</v>
      </c>
      <c r="D305" s="1">
        <f ca="1">IFERROR(__xludf.DUMMYFUNCTION("""COMPUTED_VALUE"""),2164.89)</f>
        <v>2164.89</v>
      </c>
      <c r="E305" s="1">
        <f ca="1">IFERROR(__xludf.DUMMYFUNCTION("""COMPUTED_VALUE"""),2173.02)</f>
        <v>2173.02</v>
      </c>
      <c r="F305" s="1">
        <f ca="1">IFERROR(__xludf.DUMMYFUNCTION("""COMPUTED_VALUE"""),500205767)</f>
        <v>500205767</v>
      </c>
    </row>
    <row r="306" spans="1:6" ht="13" x14ac:dyDescent="0.15">
      <c r="A306" s="2">
        <f ca="1">IFERROR(__xludf.DUMMYFUNCTION("""COMPUTED_VALUE"""),42572.6666666666)</f>
        <v>42572.666666666599</v>
      </c>
      <c r="B306" s="1">
        <f ca="1">IFERROR(__xludf.DUMMYFUNCTION("""COMPUTED_VALUE"""),2172.91)</f>
        <v>2172.91</v>
      </c>
      <c r="C306" s="1">
        <f ca="1">IFERROR(__xludf.DUMMYFUNCTION("""COMPUTED_VALUE"""),2174.56)</f>
        <v>2174.56</v>
      </c>
      <c r="D306" s="1">
        <f ca="1">IFERROR(__xludf.DUMMYFUNCTION("""COMPUTED_VALUE"""),2159.75)</f>
        <v>2159.75</v>
      </c>
      <c r="E306" s="1">
        <f ca="1">IFERROR(__xludf.DUMMYFUNCTION("""COMPUTED_VALUE"""),2165.17)</f>
        <v>2165.17</v>
      </c>
      <c r="F306" s="1">
        <f ca="1">IFERROR(__xludf.DUMMYFUNCTION("""COMPUTED_VALUE"""),559292869)</f>
        <v>559292869</v>
      </c>
    </row>
    <row r="307" spans="1:6" ht="13" x14ac:dyDescent="0.15">
      <c r="A307" s="2">
        <f ca="1">IFERROR(__xludf.DUMMYFUNCTION("""COMPUTED_VALUE"""),42573.6666666666)</f>
        <v>42573.666666666599</v>
      </c>
      <c r="B307" s="1">
        <f ca="1">IFERROR(__xludf.DUMMYFUNCTION("""COMPUTED_VALUE"""),2166.47)</f>
        <v>2166.4699999999998</v>
      </c>
      <c r="C307" s="1">
        <f ca="1">IFERROR(__xludf.DUMMYFUNCTION("""COMPUTED_VALUE"""),2175.11)</f>
        <v>2175.11</v>
      </c>
      <c r="D307" s="1">
        <f ca="1">IFERROR(__xludf.DUMMYFUNCTION("""COMPUTED_VALUE"""),2163.24)</f>
        <v>2163.2399999999998</v>
      </c>
      <c r="E307" s="1">
        <f ca="1">IFERROR(__xludf.DUMMYFUNCTION("""COMPUTED_VALUE"""),2175.03)</f>
        <v>2175.0300000000002</v>
      </c>
      <c r="F307" s="1">
        <f ca="1">IFERROR(__xludf.DUMMYFUNCTION("""COMPUTED_VALUE"""),525935607)</f>
        <v>525935607</v>
      </c>
    </row>
    <row r="308" spans="1:6" ht="13" x14ac:dyDescent="0.15">
      <c r="A308" s="2">
        <f ca="1">IFERROR(__xludf.DUMMYFUNCTION("""COMPUTED_VALUE"""),42576.6666666666)</f>
        <v>42576.666666666599</v>
      </c>
      <c r="B308" s="1">
        <f ca="1">IFERROR(__xludf.DUMMYFUNCTION("""COMPUTED_VALUE"""),2173.71)</f>
        <v>2173.71</v>
      </c>
      <c r="C308" s="1">
        <f ca="1">IFERROR(__xludf.DUMMYFUNCTION("""COMPUTED_VALUE"""),2173.71)</f>
        <v>2173.71</v>
      </c>
      <c r="D308" s="1">
        <f ca="1">IFERROR(__xludf.DUMMYFUNCTION("""COMPUTED_VALUE"""),2161.95)</f>
        <v>2161.9499999999998</v>
      </c>
      <c r="E308" s="1">
        <f ca="1">IFERROR(__xludf.DUMMYFUNCTION("""COMPUTED_VALUE"""),2168.48)</f>
        <v>2168.48</v>
      </c>
      <c r="F308" s="1">
        <f ca="1">IFERROR(__xludf.DUMMYFUNCTION("""COMPUTED_VALUE"""),511374042)</f>
        <v>511374042</v>
      </c>
    </row>
    <row r="309" spans="1:6" ht="13" x14ac:dyDescent="0.15">
      <c r="A309" s="2">
        <f ca="1">IFERROR(__xludf.DUMMYFUNCTION("""COMPUTED_VALUE"""),42577.6666666666)</f>
        <v>42577.666666666599</v>
      </c>
      <c r="B309" s="1">
        <f ca="1">IFERROR(__xludf.DUMMYFUNCTION("""COMPUTED_VALUE"""),2168.97)</f>
        <v>2168.9699999999998</v>
      </c>
      <c r="C309" s="1">
        <f ca="1">IFERROR(__xludf.DUMMYFUNCTION("""COMPUTED_VALUE"""),2173.54)</f>
        <v>2173.54</v>
      </c>
      <c r="D309" s="1">
        <f ca="1">IFERROR(__xludf.DUMMYFUNCTION("""COMPUTED_VALUE"""),2160.18)</f>
        <v>2160.1799999999998</v>
      </c>
      <c r="E309" s="1">
        <f ca="1">IFERROR(__xludf.DUMMYFUNCTION("""COMPUTED_VALUE"""),2169.18)</f>
        <v>2169.1799999999998</v>
      </c>
      <c r="F309" s="1">
        <f ca="1">IFERROR(__xludf.DUMMYFUNCTION("""COMPUTED_VALUE"""),537572545)</f>
        <v>537572545</v>
      </c>
    </row>
    <row r="310" spans="1:6" ht="13" x14ac:dyDescent="0.15">
      <c r="A310" s="2">
        <f ca="1">IFERROR(__xludf.DUMMYFUNCTION("""COMPUTED_VALUE"""),42578.6666666666)</f>
        <v>42578.666666666599</v>
      </c>
      <c r="B310" s="1">
        <f ca="1">IFERROR(__xludf.DUMMYFUNCTION("""COMPUTED_VALUE"""),2169.81)</f>
        <v>2169.81</v>
      </c>
      <c r="C310" s="1">
        <f ca="1">IFERROR(__xludf.DUMMYFUNCTION("""COMPUTED_VALUE"""),2174.98)</f>
        <v>2174.98</v>
      </c>
      <c r="D310" s="1">
        <f ca="1">IFERROR(__xludf.DUMMYFUNCTION("""COMPUTED_VALUE"""),2159.07)</f>
        <v>2159.0700000000002</v>
      </c>
      <c r="E310" s="1">
        <f ca="1">IFERROR(__xludf.DUMMYFUNCTION("""COMPUTED_VALUE"""),2166.58)</f>
        <v>2166.58</v>
      </c>
      <c r="F310" s="1">
        <f ca="1">IFERROR(__xludf.DUMMYFUNCTION("""COMPUTED_VALUE"""),661630367)</f>
        <v>661630367</v>
      </c>
    </row>
    <row r="311" spans="1:6" ht="13" x14ac:dyDescent="0.15">
      <c r="A311" s="2">
        <f ca="1">IFERROR(__xludf.DUMMYFUNCTION("""COMPUTED_VALUE"""),42579.6666666666)</f>
        <v>42579.666666666599</v>
      </c>
      <c r="B311" s="1">
        <f ca="1">IFERROR(__xludf.DUMMYFUNCTION("""COMPUTED_VALUE"""),2166.05)</f>
        <v>2166.0500000000002</v>
      </c>
      <c r="C311" s="1">
        <f ca="1">IFERROR(__xludf.DUMMYFUNCTION("""COMPUTED_VALUE"""),2172.85)</f>
        <v>2172.85</v>
      </c>
      <c r="D311" s="1">
        <f ca="1">IFERROR(__xludf.DUMMYFUNCTION("""COMPUTED_VALUE"""),2159.74)</f>
        <v>2159.7399999999998</v>
      </c>
      <c r="E311" s="1">
        <f ca="1">IFERROR(__xludf.DUMMYFUNCTION("""COMPUTED_VALUE"""),2170.06)</f>
        <v>2170.06</v>
      </c>
      <c r="F311" s="1">
        <f ca="1">IFERROR(__xludf.DUMMYFUNCTION("""COMPUTED_VALUE"""),564543919)</f>
        <v>564543919</v>
      </c>
    </row>
    <row r="312" spans="1:6" ht="13" x14ac:dyDescent="0.15">
      <c r="A312" s="2">
        <f ca="1">IFERROR(__xludf.DUMMYFUNCTION("""COMPUTED_VALUE"""),42580.6666666666)</f>
        <v>42580.666666666599</v>
      </c>
      <c r="B312" s="1">
        <f ca="1">IFERROR(__xludf.DUMMYFUNCTION("""COMPUTED_VALUE"""),2168.83)</f>
        <v>2168.83</v>
      </c>
      <c r="C312" s="1">
        <f ca="1">IFERROR(__xludf.DUMMYFUNCTION("""COMPUTED_VALUE"""),2177.09)</f>
        <v>2177.09</v>
      </c>
      <c r="D312" s="1">
        <f ca="1">IFERROR(__xludf.DUMMYFUNCTION("""COMPUTED_VALUE"""),2163.49)</f>
        <v>2163.4899999999998</v>
      </c>
      <c r="E312" s="1">
        <f ca="1">IFERROR(__xludf.DUMMYFUNCTION("""COMPUTED_VALUE"""),2173.6)</f>
        <v>2173.6</v>
      </c>
      <c r="F312" s="1">
        <f ca="1">IFERROR(__xludf.DUMMYFUNCTION("""COMPUTED_VALUE"""),787086996)</f>
        <v>787086996</v>
      </c>
    </row>
    <row r="313" spans="1:6" ht="13" x14ac:dyDescent="0.15">
      <c r="A313" s="2">
        <f ca="1">IFERROR(__xludf.DUMMYFUNCTION("""COMPUTED_VALUE"""),42583.6666666666)</f>
        <v>42583.666666666599</v>
      </c>
      <c r="B313" s="1">
        <f ca="1">IFERROR(__xludf.DUMMYFUNCTION("""COMPUTED_VALUE"""),2173.15)</f>
        <v>2173.15</v>
      </c>
      <c r="C313" s="1">
        <f ca="1">IFERROR(__xludf.DUMMYFUNCTION("""COMPUTED_VALUE"""),2178.29)</f>
        <v>2178.29</v>
      </c>
      <c r="D313" s="1">
        <f ca="1">IFERROR(__xludf.DUMMYFUNCTION("""COMPUTED_VALUE"""),2166.21)</f>
        <v>2166.21</v>
      </c>
      <c r="E313" s="1">
        <f ca="1">IFERROR(__xludf.DUMMYFUNCTION("""COMPUTED_VALUE"""),2170.84)</f>
        <v>2170.84</v>
      </c>
      <c r="F313" s="1">
        <f ca="1">IFERROR(__xludf.DUMMYFUNCTION("""COMPUTED_VALUE"""),543777140)</f>
        <v>543777140</v>
      </c>
    </row>
    <row r="314" spans="1:6" ht="13" x14ac:dyDescent="0.15">
      <c r="A314" s="2">
        <f ca="1">IFERROR(__xludf.DUMMYFUNCTION("""COMPUTED_VALUE"""),42584.6666666666)</f>
        <v>42584.666666666599</v>
      </c>
      <c r="B314" s="1">
        <f ca="1">IFERROR(__xludf.DUMMYFUNCTION("""COMPUTED_VALUE"""),2169.94)</f>
        <v>2169.94</v>
      </c>
      <c r="C314" s="1">
        <f ca="1">IFERROR(__xludf.DUMMYFUNCTION("""COMPUTED_VALUE"""),2170.2)</f>
        <v>2170.1999999999998</v>
      </c>
      <c r="D314" s="1">
        <f ca="1">IFERROR(__xludf.DUMMYFUNCTION("""COMPUTED_VALUE"""),2147.58)</f>
        <v>2147.58</v>
      </c>
      <c r="E314" s="1">
        <f ca="1">IFERROR(__xludf.DUMMYFUNCTION("""COMPUTED_VALUE"""),2157.03)</f>
        <v>2157.0300000000002</v>
      </c>
      <c r="F314" s="1">
        <f ca="1">IFERROR(__xludf.DUMMYFUNCTION("""COMPUTED_VALUE"""),619382235)</f>
        <v>619382235</v>
      </c>
    </row>
    <row r="315" spans="1:6" ht="13" x14ac:dyDescent="0.15">
      <c r="A315" s="2">
        <f ca="1">IFERROR(__xludf.DUMMYFUNCTION("""COMPUTED_VALUE"""),42585.6666666666)</f>
        <v>42585.666666666599</v>
      </c>
      <c r="B315" s="1">
        <f ca="1">IFERROR(__xludf.DUMMYFUNCTION("""COMPUTED_VALUE"""),2156.81)</f>
        <v>2156.81</v>
      </c>
      <c r="C315" s="1">
        <f ca="1">IFERROR(__xludf.DUMMYFUNCTION("""COMPUTED_VALUE"""),2163.79)</f>
        <v>2163.79</v>
      </c>
      <c r="D315" s="1">
        <f ca="1">IFERROR(__xludf.DUMMYFUNCTION("""COMPUTED_VALUE"""),2152.56)</f>
        <v>2152.56</v>
      </c>
      <c r="E315" s="1">
        <f ca="1">IFERROR(__xludf.DUMMYFUNCTION("""COMPUTED_VALUE"""),2163.79)</f>
        <v>2163.79</v>
      </c>
      <c r="F315" s="1">
        <f ca="1">IFERROR(__xludf.DUMMYFUNCTION("""COMPUTED_VALUE"""),542285389)</f>
        <v>542285389</v>
      </c>
    </row>
    <row r="316" spans="1:6" ht="13" x14ac:dyDescent="0.15">
      <c r="A316" s="2">
        <f ca="1">IFERROR(__xludf.DUMMYFUNCTION("""COMPUTED_VALUE"""),42586.6666666666)</f>
        <v>42586.666666666599</v>
      </c>
      <c r="B316" s="1">
        <f ca="1">IFERROR(__xludf.DUMMYFUNCTION("""COMPUTED_VALUE"""),2163.51)</f>
        <v>2163.5100000000002</v>
      </c>
      <c r="C316" s="1">
        <f ca="1">IFERROR(__xludf.DUMMYFUNCTION("""COMPUTED_VALUE"""),2168.19)</f>
        <v>2168.19</v>
      </c>
      <c r="D316" s="1">
        <f ca="1">IFERROR(__xludf.DUMMYFUNCTION("""COMPUTED_VALUE"""),2159.07)</f>
        <v>2159.0700000000002</v>
      </c>
      <c r="E316" s="1">
        <f ca="1">IFERROR(__xludf.DUMMYFUNCTION("""COMPUTED_VALUE"""),2164.25)</f>
        <v>2164.25</v>
      </c>
      <c r="F316" s="1">
        <f ca="1">IFERROR(__xludf.DUMMYFUNCTION("""COMPUTED_VALUE"""),492388664)</f>
        <v>492388664</v>
      </c>
    </row>
    <row r="317" spans="1:6" ht="13" x14ac:dyDescent="0.15">
      <c r="A317" s="2">
        <f ca="1">IFERROR(__xludf.DUMMYFUNCTION("""COMPUTED_VALUE"""),42587.6666666666)</f>
        <v>42587.666666666599</v>
      </c>
      <c r="B317" s="1">
        <f ca="1">IFERROR(__xludf.DUMMYFUNCTION("""COMPUTED_VALUE"""),2168.79)</f>
        <v>2168.79</v>
      </c>
      <c r="C317" s="1">
        <f ca="1">IFERROR(__xludf.DUMMYFUNCTION("""COMPUTED_VALUE"""),2182.87)</f>
        <v>2182.87</v>
      </c>
      <c r="D317" s="1">
        <f ca="1">IFERROR(__xludf.DUMMYFUNCTION("""COMPUTED_VALUE"""),2168.79)</f>
        <v>2168.79</v>
      </c>
      <c r="E317" s="1">
        <f ca="1">IFERROR(__xludf.DUMMYFUNCTION("""COMPUTED_VALUE"""),2182.87)</f>
        <v>2182.87</v>
      </c>
      <c r="F317" s="1">
        <f ca="1">IFERROR(__xludf.DUMMYFUNCTION("""COMPUTED_VALUE"""),569849800)</f>
        <v>569849800</v>
      </c>
    </row>
    <row r="318" spans="1:6" ht="13" x14ac:dyDescent="0.15">
      <c r="A318" s="2">
        <f ca="1">IFERROR(__xludf.DUMMYFUNCTION("""COMPUTED_VALUE"""),42590.6666666666)</f>
        <v>42590.666666666599</v>
      </c>
      <c r="B318" s="1">
        <f ca="1">IFERROR(__xludf.DUMMYFUNCTION("""COMPUTED_VALUE"""),2183.76)</f>
        <v>2183.7600000000002</v>
      </c>
      <c r="C318" s="1">
        <f ca="1">IFERROR(__xludf.DUMMYFUNCTION("""COMPUTED_VALUE"""),2185.44)</f>
        <v>2185.44</v>
      </c>
      <c r="D318" s="1">
        <f ca="1">IFERROR(__xludf.DUMMYFUNCTION("""COMPUTED_VALUE"""),2177.85)</f>
        <v>2177.85</v>
      </c>
      <c r="E318" s="1">
        <f ca="1">IFERROR(__xludf.DUMMYFUNCTION("""COMPUTED_VALUE"""),2180.89)</f>
        <v>2180.89</v>
      </c>
      <c r="F318" s="1">
        <f ca="1">IFERROR(__xludf.DUMMYFUNCTION("""COMPUTED_VALUE"""),486958977)</f>
        <v>486958977</v>
      </c>
    </row>
    <row r="319" spans="1:6" ht="13" x14ac:dyDescent="0.15">
      <c r="A319" s="2">
        <f ca="1">IFERROR(__xludf.DUMMYFUNCTION("""COMPUTED_VALUE"""),42591.6666666666)</f>
        <v>42591.666666666599</v>
      </c>
      <c r="B319" s="1">
        <f ca="1">IFERROR(__xludf.DUMMYFUNCTION("""COMPUTED_VALUE"""),2182.24)</f>
        <v>2182.2399999999998</v>
      </c>
      <c r="C319" s="1">
        <f ca="1">IFERROR(__xludf.DUMMYFUNCTION("""COMPUTED_VALUE"""),2187.66)</f>
        <v>2187.66</v>
      </c>
      <c r="D319" s="1">
        <f ca="1">IFERROR(__xludf.DUMMYFUNCTION("""COMPUTED_VALUE"""),2178.61)</f>
        <v>2178.61</v>
      </c>
      <c r="E319" s="1">
        <f ca="1">IFERROR(__xludf.DUMMYFUNCTION("""COMPUTED_VALUE"""),2181.74)</f>
        <v>2181.7399999999998</v>
      </c>
      <c r="F319" s="1">
        <f ca="1">IFERROR(__xludf.DUMMYFUNCTION("""COMPUTED_VALUE"""),427986401)</f>
        <v>427986401</v>
      </c>
    </row>
    <row r="320" spans="1:6" ht="13" x14ac:dyDescent="0.15">
      <c r="A320" s="2">
        <f ca="1">IFERROR(__xludf.DUMMYFUNCTION("""COMPUTED_VALUE"""),42592.6666666666)</f>
        <v>42592.666666666599</v>
      </c>
      <c r="B320" s="1">
        <f ca="1">IFERROR(__xludf.DUMMYFUNCTION("""COMPUTED_VALUE"""),2182.81)</f>
        <v>2182.81</v>
      </c>
      <c r="C320" s="1">
        <f ca="1">IFERROR(__xludf.DUMMYFUNCTION("""COMPUTED_VALUE"""),2183.41)</f>
        <v>2183.41</v>
      </c>
      <c r="D320" s="1">
        <f ca="1">IFERROR(__xludf.DUMMYFUNCTION("""COMPUTED_VALUE"""),2172)</f>
        <v>2172</v>
      </c>
      <c r="E320" s="1">
        <f ca="1">IFERROR(__xludf.DUMMYFUNCTION("""COMPUTED_VALUE"""),2175.49)</f>
        <v>2175.4899999999998</v>
      </c>
      <c r="F320" s="1">
        <f ca="1">IFERROR(__xludf.DUMMYFUNCTION("""COMPUTED_VALUE"""),439573433)</f>
        <v>439573433</v>
      </c>
    </row>
    <row r="321" spans="1:6" ht="13" x14ac:dyDescent="0.15">
      <c r="A321" s="2">
        <f ca="1">IFERROR(__xludf.DUMMYFUNCTION("""COMPUTED_VALUE"""),42593.6666666666)</f>
        <v>42593.666666666599</v>
      </c>
      <c r="B321" s="1">
        <f ca="1">IFERROR(__xludf.DUMMYFUNCTION("""COMPUTED_VALUE"""),2177.97)</f>
        <v>2177.9699999999998</v>
      </c>
      <c r="C321" s="1">
        <f ca="1">IFERROR(__xludf.DUMMYFUNCTION("""COMPUTED_VALUE"""),2188.45)</f>
        <v>2188.4499999999998</v>
      </c>
      <c r="D321" s="1">
        <f ca="1">IFERROR(__xludf.DUMMYFUNCTION("""COMPUTED_VALUE"""),2177.97)</f>
        <v>2177.9699999999998</v>
      </c>
      <c r="E321" s="1">
        <f ca="1">IFERROR(__xludf.DUMMYFUNCTION("""COMPUTED_VALUE"""),2185.79)</f>
        <v>2185.79</v>
      </c>
      <c r="F321" s="1">
        <f ca="1">IFERROR(__xludf.DUMMYFUNCTION("""COMPUTED_VALUE"""),464458711)</f>
        <v>464458711</v>
      </c>
    </row>
    <row r="322" spans="1:6" ht="13" x14ac:dyDescent="0.15">
      <c r="A322" s="2">
        <f ca="1">IFERROR(__xludf.DUMMYFUNCTION("""COMPUTED_VALUE"""),42594.6666666666)</f>
        <v>42594.666666666599</v>
      </c>
      <c r="B322" s="1">
        <f ca="1">IFERROR(__xludf.DUMMYFUNCTION("""COMPUTED_VALUE"""),2183.74)</f>
        <v>2183.7399999999998</v>
      </c>
      <c r="C322" s="1">
        <f ca="1">IFERROR(__xludf.DUMMYFUNCTION("""COMPUTED_VALUE"""),2186.28)</f>
        <v>2186.2800000000002</v>
      </c>
      <c r="D322" s="1">
        <f ca="1">IFERROR(__xludf.DUMMYFUNCTION("""COMPUTED_VALUE"""),2179.42)</f>
        <v>2179.42</v>
      </c>
      <c r="E322" s="1">
        <f ca="1">IFERROR(__xludf.DUMMYFUNCTION("""COMPUTED_VALUE"""),2184.05)</f>
        <v>2184.0500000000002</v>
      </c>
      <c r="F322" s="1">
        <f ca="1">IFERROR(__xludf.DUMMYFUNCTION("""COMPUTED_VALUE"""),432156303)</f>
        <v>432156303</v>
      </c>
    </row>
    <row r="323" spans="1:6" ht="13" x14ac:dyDescent="0.15">
      <c r="A323" s="2">
        <f ca="1">IFERROR(__xludf.DUMMYFUNCTION("""COMPUTED_VALUE"""),42597.6666666666)</f>
        <v>42597.666666666599</v>
      </c>
      <c r="B323" s="1">
        <f ca="1">IFERROR(__xludf.DUMMYFUNCTION("""COMPUTED_VALUE"""),2186.08)</f>
        <v>2186.08</v>
      </c>
      <c r="C323" s="1">
        <f ca="1">IFERROR(__xludf.DUMMYFUNCTION("""COMPUTED_VALUE"""),2193.81)</f>
        <v>2193.81</v>
      </c>
      <c r="D323" s="1">
        <f ca="1">IFERROR(__xludf.DUMMYFUNCTION("""COMPUTED_VALUE"""),2186.08)</f>
        <v>2186.08</v>
      </c>
      <c r="E323" s="1">
        <f ca="1">IFERROR(__xludf.DUMMYFUNCTION("""COMPUTED_VALUE"""),2190.15)</f>
        <v>2190.15</v>
      </c>
      <c r="F323" s="1">
        <f ca="1">IFERROR(__xludf.DUMMYFUNCTION("""COMPUTED_VALUE"""),441305055)</f>
        <v>441305055</v>
      </c>
    </row>
    <row r="324" spans="1:6" ht="13" x14ac:dyDescent="0.15">
      <c r="A324" s="2">
        <f ca="1">IFERROR(__xludf.DUMMYFUNCTION("""COMPUTED_VALUE"""),42598.6666666666)</f>
        <v>42598.666666666599</v>
      </c>
      <c r="B324" s="1">
        <f ca="1">IFERROR(__xludf.DUMMYFUNCTION("""COMPUTED_VALUE"""),2186.24)</f>
        <v>2186.2399999999998</v>
      </c>
      <c r="C324" s="1">
        <f ca="1">IFERROR(__xludf.DUMMYFUNCTION("""COMPUTED_VALUE"""),2186.24)</f>
        <v>2186.2399999999998</v>
      </c>
      <c r="D324" s="1">
        <f ca="1">IFERROR(__xludf.DUMMYFUNCTION("""COMPUTED_VALUE"""),2178.14)</f>
        <v>2178.14</v>
      </c>
      <c r="E324" s="1">
        <f ca="1">IFERROR(__xludf.DUMMYFUNCTION("""COMPUTED_VALUE"""),2178.15)</f>
        <v>2178.15</v>
      </c>
      <c r="F324" s="1">
        <f ca="1">IFERROR(__xludf.DUMMYFUNCTION("""COMPUTED_VALUE"""),484439239)</f>
        <v>484439239</v>
      </c>
    </row>
    <row r="325" spans="1:6" ht="13" x14ac:dyDescent="0.15">
      <c r="A325" s="2">
        <f ca="1">IFERROR(__xludf.DUMMYFUNCTION("""COMPUTED_VALUE"""),42599.6666666666)</f>
        <v>42599.666666666599</v>
      </c>
      <c r="B325" s="1">
        <f ca="1">IFERROR(__xludf.DUMMYFUNCTION("""COMPUTED_VALUE"""),2177.84)</f>
        <v>2177.84</v>
      </c>
      <c r="C325" s="1">
        <f ca="1">IFERROR(__xludf.DUMMYFUNCTION("""COMPUTED_VALUE"""),2183.08)</f>
        <v>2183.08</v>
      </c>
      <c r="D325" s="1">
        <f ca="1">IFERROR(__xludf.DUMMYFUNCTION("""COMPUTED_VALUE"""),2168.5)</f>
        <v>2168.5</v>
      </c>
      <c r="E325" s="1">
        <f ca="1">IFERROR(__xludf.DUMMYFUNCTION("""COMPUTED_VALUE"""),2182.22)</f>
        <v>2182.2199999999998</v>
      </c>
      <c r="F325" s="1">
        <f ca="1">IFERROR(__xludf.DUMMYFUNCTION("""COMPUTED_VALUE"""),499856353)</f>
        <v>499856353</v>
      </c>
    </row>
    <row r="326" spans="1:6" ht="13" x14ac:dyDescent="0.15">
      <c r="A326" s="2">
        <f ca="1">IFERROR(__xludf.DUMMYFUNCTION("""COMPUTED_VALUE"""),42600.6666666666)</f>
        <v>42600.666666666599</v>
      </c>
      <c r="B326" s="1">
        <f ca="1">IFERROR(__xludf.DUMMYFUNCTION("""COMPUTED_VALUE"""),2181.9)</f>
        <v>2181.9</v>
      </c>
      <c r="C326" s="1">
        <f ca="1">IFERROR(__xludf.DUMMYFUNCTION("""COMPUTED_VALUE"""),2187.03)</f>
        <v>2187.0300000000002</v>
      </c>
      <c r="D326" s="1">
        <f ca="1">IFERROR(__xludf.DUMMYFUNCTION("""COMPUTED_VALUE"""),2180.46)</f>
        <v>2180.46</v>
      </c>
      <c r="E326" s="1">
        <f ca="1">IFERROR(__xludf.DUMMYFUNCTION("""COMPUTED_VALUE"""),2187.02)</f>
        <v>2187.02</v>
      </c>
      <c r="F326" s="1">
        <f ca="1">IFERROR(__xludf.DUMMYFUNCTION("""COMPUTED_VALUE"""),510514826)</f>
        <v>510514826</v>
      </c>
    </row>
    <row r="327" spans="1:6" ht="13" x14ac:dyDescent="0.15">
      <c r="A327" s="2">
        <f ca="1">IFERROR(__xludf.DUMMYFUNCTION("""COMPUTED_VALUE"""),42601.6666666666)</f>
        <v>42601.666666666599</v>
      </c>
      <c r="B327" s="1">
        <f ca="1">IFERROR(__xludf.DUMMYFUNCTION("""COMPUTED_VALUE"""),2184.24)</f>
        <v>2184.2399999999998</v>
      </c>
      <c r="C327" s="1">
        <f ca="1">IFERROR(__xludf.DUMMYFUNCTION("""COMPUTED_VALUE"""),2185)</f>
        <v>2185</v>
      </c>
      <c r="D327" s="1">
        <f ca="1">IFERROR(__xludf.DUMMYFUNCTION("""COMPUTED_VALUE"""),2175.13)</f>
        <v>2175.13</v>
      </c>
      <c r="E327" s="1">
        <f ca="1">IFERROR(__xludf.DUMMYFUNCTION("""COMPUTED_VALUE"""),2183.87)</f>
        <v>2183.87</v>
      </c>
      <c r="F327" s="1">
        <f ca="1">IFERROR(__xludf.DUMMYFUNCTION("""COMPUTED_VALUE"""),580186480)</f>
        <v>580186480</v>
      </c>
    </row>
    <row r="328" spans="1:6" ht="13" x14ac:dyDescent="0.15">
      <c r="A328" s="2">
        <f ca="1">IFERROR(__xludf.DUMMYFUNCTION("""COMPUTED_VALUE"""),42604.6666666666)</f>
        <v>42604.666666666599</v>
      </c>
      <c r="B328" s="1">
        <f ca="1">IFERROR(__xludf.DUMMYFUNCTION("""COMPUTED_VALUE"""),2181.58)</f>
        <v>2181.58</v>
      </c>
      <c r="C328" s="1">
        <f ca="1">IFERROR(__xludf.DUMMYFUNCTION("""COMPUTED_VALUE"""),2185.15)</f>
        <v>2185.15</v>
      </c>
      <c r="D328" s="1">
        <f ca="1">IFERROR(__xludf.DUMMYFUNCTION("""COMPUTED_VALUE"""),2175.96)</f>
        <v>2175.96</v>
      </c>
      <c r="E328" s="1">
        <f ca="1">IFERROR(__xludf.DUMMYFUNCTION("""COMPUTED_VALUE"""),2182.64)</f>
        <v>2182.64</v>
      </c>
      <c r="F328" s="1">
        <f ca="1">IFERROR(__xludf.DUMMYFUNCTION("""COMPUTED_VALUE"""),463033593)</f>
        <v>463033593</v>
      </c>
    </row>
    <row r="329" spans="1:6" ht="13" x14ac:dyDescent="0.15">
      <c r="A329" s="2">
        <f ca="1">IFERROR(__xludf.DUMMYFUNCTION("""COMPUTED_VALUE"""),42605.6666666666)</f>
        <v>42605.666666666599</v>
      </c>
      <c r="B329" s="1">
        <f ca="1">IFERROR(__xludf.DUMMYFUNCTION("""COMPUTED_VALUE"""),2187.81)</f>
        <v>2187.81</v>
      </c>
      <c r="C329" s="1">
        <f ca="1">IFERROR(__xludf.DUMMYFUNCTION("""COMPUTED_VALUE"""),2193.42)</f>
        <v>2193.42</v>
      </c>
      <c r="D329" s="1">
        <f ca="1">IFERROR(__xludf.DUMMYFUNCTION("""COMPUTED_VALUE"""),2186.8)</f>
        <v>2186.8000000000002</v>
      </c>
      <c r="E329" s="1">
        <f ca="1">IFERROR(__xludf.DUMMYFUNCTION("""COMPUTED_VALUE"""),2186.9)</f>
        <v>2186.9</v>
      </c>
      <c r="F329" s="1">
        <f ca="1">IFERROR(__xludf.DUMMYFUNCTION("""COMPUTED_VALUE"""),466736625)</f>
        <v>466736625</v>
      </c>
    </row>
    <row r="330" spans="1:6" ht="13" x14ac:dyDescent="0.15">
      <c r="A330" s="2">
        <f ca="1">IFERROR(__xludf.DUMMYFUNCTION("""COMPUTED_VALUE"""),42606.6666666666)</f>
        <v>42606.666666666599</v>
      </c>
      <c r="B330" s="1">
        <f ca="1">IFERROR(__xludf.DUMMYFUNCTION("""COMPUTED_VALUE"""),2185.09)</f>
        <v>2185.09</v>
      </c>
      <c r="C330" s="1">
        <f ca="1">IFERROR(__xludf.DUMMYFUNCTION("""COMPUTED_VALUE"""),2186.66)</f>
        <v>2186.66</v>
      </c>
      <c r="D330" s="1">
        <f ca="1">IFERROR(__xludf.DUMMYFUNCTION("""COMPUTED_VALUE"""),2171.25)</f>
        <v>2171.25</v>
      </c>
      <c r="E330" s="1">
        <f ca="1">IFERROR(__xludf.DUMMYFUNCTION("""COMPUTED_VALUE"""),2175.44)</f>
        <v>2175.44</v>
      </c>
      <c r="F330" s="1">
        <f ca="1">IFERROR(__xludf.DUMMYFUNCTION("""COMPUTED_VALUE"""),472264903)</f>
        <v>472264903</v>
      </c>
    </row>
    <row r="331" spans="1:6" ht="13" x14ac:dyDescent="0.15">
      <c r="A331" s="2">
        <f ca="1">IFERROR(__xludf.DUMMYFUNCTION("""COMPUTED_VALUE"""),42607.6666666666)</f>
        <v>42607.666666666599</v>
      </c>
      <c r="B331" s="1">
        <f ca="1">IFERROR(__xludf.DUMMYFUNCTION("""COMPUTED_VALUE"""),2173.29)</f>
        <v>2173.29</v>
      </c>
      <c r="C331" s="1">
        <f ca="1">IFERROR(__xludf.DUMMYFUNCTION("""COMPUTED_VALUE"""),2179)</f>
        <v>2179</v>
      </c>
      <c r="D331" s="1">
        <f ca="1">IFERROR(__xludf.DUMMYFUNCTION("""COMPUTED_VALUE"""),2169.74)</f>
        <v>2169.7399999999998</v>
      </c>
      <c r="E331" s="1">
        <f ca="1">IFERROR(__xludf.DUMMYFUNCTION("""COMPUTED_VALUE"""),2172.47)</f>
        <v>2172.4699999999998</v>
      </c>
      <c r="F331" s="1">
        <f ca="1">IFERROR(__xludf.DUMMYFUNCTION("""COMPUTED_VALUE"""),459398340)</f>
        <v>459398340</v>
      </c>
    </row>
    <row r="332" spans="1:6" ht="13" x14ac:dyDescent="0.15">
      <c r="A332" s="2">
        <f ca="1">IFERROR(__xludf.DUMMYFUNCTION("""COMPUTED_VALUE"""),42608.6666666666)</f>
        <v>42608.666666666599</v>
      </c>
      <c r="B332" s="1">
        <f ca="1">IFERROR(__xludf.DUMMYFUNCTION("""COMPUTED_VALUE"""),2175.1)</f>
        <v>2175.1</v>
      </c>
      <c r="C332" s="1">
        <f ca="1">IFERROR(__xludf.DUMMYFUNCTION("""COMPUTED_VALUE"""),2187.94)</f>
        <v>2187.94</v>
      </c>
      <c r="D332" s="1">
        <f ca="1">IFERROR(__xludf.DUMMYFUNCTION("""COMPUTED_VALUE"""),2160.39)</f>
        <v>2160.39</v>
      </c>
      <c r="E332" s="1">
        <f ca="1">IFERROR(__xludf.DUMMYFUNCTION("""COMPUTED_VALUE"""),2169.04)</f>
        <v>2169.04</v>
      </c>
      <c r="F332" s="1">
        <f ca="1">IFERROR(__xludf.DUMMYFUNCTION("""COMPUTED_VALUE"""),494425690)</f>
        <v>494425690</v>
      </c>
    </row>
    <row r="333" spans="1:6" ht="13" x14ac:dyDescent="0.15">
      <c r="A333" s="2">
        <f ca="1">IFERROR(__xludf.DUMMYFUNCTION("""COMPUTED_VALUE"""),42611.6666666666)</f>
        <v>42611.666666666599</v>
      </c>
      <c r="B333" s="1">
        <f ca="1">IFERROR(__xludf.DUMMYFUNCTION("""COMPUTED_VALUE"""),2170.19)</f>
        <v>2170.19</v>
      </c>
      <c r="C333" s="1">
        <f ca="1">IFERROR(__xludf.DUMMYFUNCTION("""COMPUTED_VALUE"""),2183.48)</f>
        <v>2183.48</v>
      </c>
      <c r="D333" s="1">
        <f ca="1">IFERROR(__xludf.DUMMYFUNCTION("""COMPUTED_VALUE"""),2170.19)</f>
        <v>2170.19</v>
      </c>
      <c r="E333" s="1">
        <f ca="1">IFERROR(__xludf.DUMMYFUNCTION("""COMPUTED_VALUE"""),2180.38)</f>
        <v>2180.38</v>
      </c>
      <c r="F333" s="1">
        <f ca="1">IFERROR(__xludf.DUMMYFUNCTION("""COMPUTED_VALUE"""),434407871)</f>
        <v>434407871</v>
      </c>
    </row>
    <row r="334" spans="1:6" ht="13" x14ac:dyDescent="0.15">
      <c r="A334" s="2">
        <f ca="1">IFERROR(__xludf.DUMMYFUNCTION("""COMPUTED_VALUE"""),42612.6666666666)</f>
        <v>42612.666666666599</v>
      </c>
      <c r="B334" s="1">
        <f ca="1">IFERROR(__xludf.DUMMYFUNCTION("""COMPUTED_VALUE"""),2179.45)</f>
        <v>2179.4499999999998</v>
      </c>
      <c r="C334" s="1">
        <f ca="1">IFERROR(__xludf.DUMMYFUNCTION("""COMPUTED_VALUE"""),2182.27)</f>
        <v>2182.27</v>
      </c>
      <c r="D334" s="1">
        <f ca="1">IFERROR(__xludf.DUMMYFUNCTION("""COMPUTED_VALUE"""),2170.41)</f>
        <v>2170.41</v>
      </c>
      <c r="E334" s="1">
        <f ca="1">IFERROR(__xludf.DUMMYFUNCTION("""COMPUTED_VALUE"""),2176.12)</f>
        <v>2176.12</v>
      </c>
      <c r="F334" s="1">
        <f ca="1">IFERROR(__xludf.DUMMYFUNCTION("""COMPUTED_VALUE"""),470170318)</f>
        <v>470170318</v>
      </c>
    </row>
    <row r="335" spans="1:6" ht="13" x14ac:dyDescent="0.15">
      <c r="A335" s="2">
        <f ca="1">IFERROR(__xludf.DUMMYFUNCTION("""COMPUTED_VALUE"""),42613.6666666666)</f>
        <v>42613.666666666599</v>
      </c>
      <c r="B335" s="1">
        <f ca="1">IFERROR(__xludf.DUMMYFUNCTION("""COMPUTED_VALUE"""),2173.56)</f>
        <v>2173.56</v>
      </c>
      <c r="C335" s="1">
        <f ca="1">IFERROR(__xludf.DUMMYFUNCTION("""COMPUTED_VALUE"""),2173.79)</f>
        <v>2173.79</v>
      </c>
      <c r="D335" s="1">
        <f ca="1">IFERROR(__xludf.DUMMYFUNCTION("""COMPUTED_VALUE"""),2161.35)</f>
        <v>2161.35</v>
      </c>
      <c r="E335" s="1">
        <f ca="1">IFERROR(__xludf.DUMMYFUNCTION("""COMPUTED_VALUE"""),2170.95)</f>
        <v>2170.9499999999998</v>
      </c>
      <c r="F335" s="1">
        <f ca="1">IFERROR(__xludf.DUMMYFUNCTION("""COMPUTED_VALUE"""),659162199)</f>
        <v>659162199</v>
      </c>
    </row>
    <row r="336" spans="1:6" ht="13" x14ac:dyDescent="0.15">
      <c r="A336" s="2">
        <f ca="1">IFERROR(__xludf.DUMMYFUNCTION("""COMPUTED_VALUE"""),42614.6666666666)</f>
        <v>42614.666666666599</v>
      </c>
      <c r="B336" s="1">
        <f ca="1">IFERROR(__xludf.DUMMYFUNCTION("""COMPUTED_VALUE"""),2171.33)</f>
        <v>2171.33</v>
      </c>
      <c r="C336" s="1">
        <f ca="1">IFERROR(__xludf.DUMMYFUNCTION("""COMPUTED_VALUE"""),2173.56)</f>
        <v>2173.56</v>
      </c>
      <c r="D336" s="1">
        <f ca="1">IFERROR(__xludf.DUMMYFUNCTION("""COMPUTED_VALUE"""),2157.09)</f>
        <v>2157.09</v>
      </c>
      <c r="E336" s="1">
        <f ca="1">IFERROR(__xludf.DUMMYFUNCTION("""COMPUTED_VALUE"""),2170.86)</f>
        <v>2170.86</v>
      </c>
      <c r="F336" s="1">
        <f ca="1">IFERROR(__xludf.DUMMYFUNCTION("""COMPUTED_VALUE"""),507264056)</f>
        <v>507264056</v>
      </c>
    </row>
    <row r="337" spans="1:6" ht="13" x14ac:dyDescent="0.15">
      <c r="A337" s="2">
        <f ca="1">IFERROR(__xludf.DUMMYFUNCTION("""COMPUTED_VALUE"""),42615.6666666666)</f>
        <v>42615.666666666599</v>
      </c>
      <c r="B337" s="1">
        <f ca="1">IFERROR(__xludf.DUMMYFUNCTION("""COMPUTED_VALUE"""),2177.49)</f>
        <v>2177.4899999999998</v>
      </c>
      <c r="C337" s="1">
        <f ca="1">IFERROR(__xludf.DUMMYFUNCTION("""COMPUTED_VALUE"""),2184.87)</f>
        <v>2184.87</v>
      </c>
      <c r="D337" s="1">
        <f ca="1">IFERROR(__xludf.DUMMYFUNCTION("""COMPUTED_VALUE"""),2173.59)</f>
        <v>2173.59</v>
      </c>
      <c r="E337" s="1">
        <f ca="1">IFERROR(__xludf.DUMMYFUNCTION("""COMPUTED_VALUE"""),2179.98)</f>
        <v>2179.98</v>
      </c>
      <c r="F337" s="1">
        <f ca="1">IFERROR(__xludf.DUMMYFUNCTION("""COMPUTED_VALUE"""),491982133)</f>
        <v>491982133</v>
      </c>
    </row>
    <row r="338" spans="1:6" ht="13" x14ac:dyDescent="0.15">
      <c r="A338" s="2">
        <f ca="1">IFERROR(__xludf.DUMMYFUNCTION("""COMPUTED_VALUE"""),42619.6666666666)</f>
        <v>42619.666666666599</v>
      </c>
      <c r="B338" s="1">
        <f ca="1">IFERROR(__xludf.DUMMYFUNCTION("""COMPUTED_VALUE"""),2181.61)</f>
        <v>2181.61</v>
      </c>
      <c r="C338" s="1">
        <f ca="1">IFERROR(__xludf.DUMMYFUNCTION("""COMPUTED_VALUE"""),2186.57)</f>
        <v>2186.5700000000002</v>
      </c>
      <c r="D338" s="1">
        <f ca="1">IFERROR(__xludf.DUMMYFUNCTION("""COMPUTED_VALUE"""),2175.1)</f>
        <v>2175.1</v>
      </c>
      <c r="E338" s="1">
        <f ca="1">IFERROR(__xludf.DUMMYFUNCTION("""COMPUTED_VALUE"""),2186.48)</f>
        <v>2186.48</v>
      </c>
      <c r="F338" s="1">
        <f ca="1">IFERROR(__xludf.DUMMYFUNCTION("""COMPUTED_VALUE"""),569188047)</f>
        <v>569188047</v>
      </c>
    </row>
    <row r="339" spans="1:6" ht="13" x14ac:dyDescent="0.15">
      <c r="A339" s="2">
        <f ca="1">IFERROR(__xludf.DUMMYFUNCTION("""COMPUTED_VALUE"""),42620.6666666666)</f>
        <v>42620.666666666599</v>
      </c>
      <c r="B339" s="1">
        <f ca="1">IFERROR(__xludf.DUMMYFUNCTION("""COMPUTED_VALUE"""),2185.17)</f>
        <v>2185.17</v>
      </c>
      <c r="C339" s="1">
        <f ca="1">IFERROR(__xludf.DUMMYFUNCTION("""COMPUTED_VALUE"""),2187.87)</f>
        <v>2187.87</v>
      </c>
      <c r="D339" s="1">
        <f ca="1">IFERROR(__xludf.DUMMYFUNCTION("""COMPUTED_VALUE"""),2179.07)</f>
        <v>2179.0700000000002</v>
      </c>
      <c r="E339" s="1">
        <f ca="1">IFERROR(__xludf.DUMMYFUNCTION("""COMPUTED_VALUE"""),2186.16)</f>
        <v>2186.16</v>
      </c>
      <c r="F339" s="1">
        <f ca="1">IFERROR(__xludf.DUMMYFUNCTION("""COMPUTED_VALUE"""),511720244)</f>
        <v>511720244</v>
      </c>
    </row>
    <row r="340" spans="1:6" ht="13" x14ac:dyDescent="0.15">
      <c r="A340" s="2">
        <f ca="1">IFERROR(__xludf.DUMMYFUNCTION("""COMPUTED_VALUE"""),42621.6666666666)</f>
        <v>42621.666666666599</v>
      </c>
      <c r="B340" s="1">
        <f ca="1">IFERROR(__xludf.DUMMYFUNCTION("""COMPUTED_VALUE"""),2182.76)</f>
        <v>2182.7600000000002</v>
      </c>
      <c r="C340" s="1">
        <f ca="1">IFERROR(__xludf.DUMMYFUNCTION("""COMPUTED_VALUE"""),2184.94)</f>
        <v>2184.94</v>
      </c>
      <c r="D340" s="1">
        <f ca="1">IFERROR(__xludf.DUMMYFUNCTION("""COMPUTED_VALUE"""),2177.49)</f>
        <v>2177.4899999999998</v>
      </c>
      <c r="E340" s="1">
        <f ca="1">IFERROR(__xludf.DUMMYFUNCTION("""COMPUTED_VALUE"""),2181.3)</f>
        <v>2181.3000000000002</v>
      </c>
      <c r="F340" s="1">
        <f ca="1">IFERROR(__xludf.DUMMYFUNCTION("""COMPUTED_VALUE"""),530082582)</f>
        <v>530082582</v>
      </c>
    </row>
    <row r="341" spans="1:6" ht="13" x14ac:dyDescent="0.15">
      <c r="A341" s="2">
        <f ca="1">IFERROR(__xludf.DUMMYFUNCTION("""COMPUTED_VALUE"""),42622.6666666666)</f>
        <v>42622.666666666599</v>
      </c>
      <c r="B341" s="1">
        <f ca="1">IFERROR(__xludf.DUMMYFUNCTION("""COMPUTED_VALUE"""),2169.08)</f>
        <v>2169.08</v>
      </c>
      <c r="C341" s="1">
        <f ca="1">IFERROR(__xludf.DUMMYFUNCTION("""COMPUTED_VALUE"""),2169.08)</f>
        <v>2169.08</v>
      </c>
      <c r="D341" s="1">
        <f ca="1">IFERROR(__xludf.DUMMYFUNCTION("""COMPUTED_VALUE"""),2127.81)</f>
        <v>2127.81</v>
      </c>
      <c r="E341" s="1">
        <f ca="1">IFERROR(__xludf.DUMMYFUNCTION("""COMPUTED_VALUE"""),2127.81)</f>
        <v>2127.81</v>
      </c>
      <c r="F341" s="1">
        <f ca="1">IFERROR(__xludf.DUMMYFUNCTION("""COMPUTED_VALUE"""),733227083)</f>
        <v>733227083</v>
      </c>
    </row>
    <row r="342" spans="1:6" ht="13" x14ac:dyDescent="0.15">
      <c r="A342" s="2">
        <f ca="1">IFERROR(__xludf.DUMMYFUNCTION("""COMPUTED_VALUE"""),42625.6666666666)</f>
        <v>42625.666666666599</v>
      </c>
      <c r="B342" s="1">
        <f ca="1">IFERROR(__xludf.DUMMYFUNCTION("""COMPUTED_VALUE"""),2120.86)</f>
        <v>2120.86</v>
      </c>
      <c r="C342" s="1">
        <f ca="1">IFERROR(__xludf.DUMMYFUNCTION("""COMPUTED_VALUE"""),2163.3)</f>
        <v>2163.3000000000002</v>
      </c>
      <c r="D342" s="1">
        <f ca="1">IFERROR(__xludf.DUMMYFUNCTION("""COMPUTED_VALUE"""),2119.12)</f>
        <v>2119.12</v>
      </c>
      <c r="E342" s="1">
        <f ca="1">IFERROR(__xludf.DUMMYFUNCTION("""COMPUTED_VALUE"""),2159.04)</f>
        <v>2159.04</v>
      </c>
      <c r="F342" s="1">
        <f ca="1">IFERROR(__xludf.DUMMYFUNCTION("""COMPUTED_VALUE"""),678673914)</f>
        <v>678673914</v>
      </c>
    </row>
    <row r="343" spans="1:6" ht="13" x14ac:dyDescent="0.15">
      <c r="A343" s="2">
        <f ca="1">IFERROR(__xludf.DUMMYFUNCTION("""COMPUTED_VALUE"""),42626.6666666666)</f>
        <v>42626.666666666599</v>
      </c>
      <c r="B343" s="1">
        <f ca="1">IFERROR(__xludf.DUMMYFUNCTION("""COMPUTED_VALUE"""),2150.47)</f>
        <v>2150.4699999999998</v>
      </c>
      <c r="C343" s="1">
        <f ca="1">IFERROR(__xludf.DUMMYFUNCTION("""COMPUTED_VALUE"""),2150.47)</f>
        <v>2150.4699999999998</v>
      </c>
      <c r="D343" s="1">
        <f ca="1">IFERROR(__xludf.DUMMYFUNCTION("""COMPUTED_VALUE"""),2120.27)</f>
        <v>2120.27</v>
      </c>
      <c r="E343" s="1">
        <f ca="1">IFERROR(__xludf.DUMMYFUNCTION("""COMPUTED_VALUE"""),2127.02)</f>
        <v>2127.02</v>
      </c>
      <c r="F343" s="1">
        <f ca="1">IFERROR(__xludf.DUMMYFUNCTION("""COMPUTED_VALUE"""),671922252)</f>
        <v>671922252</v>
      </c>
    </row>
    <row r="344" spans="1:6" ht="13" x14ac:dyDescent="0.15">
      <c r="A344" s="2">
        <f ca="1">IFERROR(__xludf.DUMMYFUNCTION("""COMPUTED_VALUE"""),42627.6666666666)</f>
        <v>42627.666666666599</v>
      </c>
      <c r="B344" s="1">
        <f ca="1">IFERROR(__xludf.DUMMYFUNCTION("""COMPUTED_VALUE"""),2127.86)</f>
        <v>2127.86</v>
      </c>
      <c r="C344" s="1">
        <f ca="1">IFERROR(__xludf.DUMMYFUNCTION("""COMPUTED_VALUE"""),2141.33)</f>
        <v>2141.33</v>
      </c>
      <c r="D344" s="1">
        <f ca="1">IFERROR(__xludf.DUMMYFUNCTION("""COMPUTED_VALUE"""),2119.9)</f>
        <v>2119.9</v>
      </c>
      <c r="E344" s="1">
        <f ca="1">IFERROR(__xludf.DUMMYFUNCTION("""COMPUTED_VALUE"""),2125.77)</f>
        <v>2125.77</v>
      </c>
      <c r="F344" s="1">
        <f ca="1">IFERROR(__xludf.DUMMYFUNCTION("""COMPUTED_VALUE"""),613057415)</f>
        <v>613057415</v>
      </c>
    </row>
    <row r="345" spans="1:6" ht="13" x14ac:dyDescent="0.15">
      <c r="A345" s="2">
        <f ca="1">IFERROR(__xludf.DUMMYFUNCTION("""COMPUTED_VALUE"""),42628.6666666666)</f>
        <v>42628.666666666599</v>
      </c>
      <c r="B345" s="1">
        <f ca="1">IFERROR(__xludf.DUMMYFUNCTION("""COMPUTED_VALUE"""),2125.36)</f>
        <v>2125.36</v>
      </c>
      <c r="C345" s="1">
        <f ca="1">IFERROR(__xludf.DUMMYFUNCTION("""COMPUTED_VALUE"""),2151.31)</f>
        <v>2151.31</v>
      </c>
      <c r="D345" s="1">
        <f ca="1">IFERROR(__xludf.DUMMYFUNCTION("""COMPUTED_VALUE"""),2122.36)</f>
        <v>2122.36</v>
      </c>
      <c r="E345" s="1">
        <f ca="1">IFERROR(__xludf.DUMMYFUNCTION("""COMPUTED_VALUE"""),2147.26)</f>
        <v>2147.2600000000002</v>
      </c>
      <c r="F345" s="1">
        <f ca="1">IFERROR(__xludf.DUMMYFUNCTION("""COMPUTED_VALUE"""),582039878)</f>
        <v>582039878</v>
      </c>
    </row>
    <row r="346" spans="1:6" ht="13" x14ac:dyDescent="0.15">
      <c r="A346" s="2">
        <f ca="1">IFERROR(__xludf.DUMMYFUNCTION("""COMPUTED_VALUE"""),42629.6666666666)</f>
        <v>42629.666666666599</v>
      </c>
      <c r="B346" s="1">
        <f ca="1">IFERROR(__xludf.DUMMYFUNCTION("""COMPUTED_VALUE"""),2146.48)</f>
        <v>2146.48</v>
      </c>
      <c r="C346" s="1">
        <f ca="1">IFERROR(__xludf.DUMMYFUNCTION("""COMPUTED_VALUE"""),2146.48)</f>
        <v>2146.48</v>
      </c>
      <c r="D346" s="1">
        <f ca="1">IFERROR(__xludf.DUMMYFUNCTION("""COMPUTED_VALUE"""),2131.2)</f>
        <v>2131.1999999999998</v>
      </c>
      <c r="E346" s="1">
        <f ca="1">IFERROR(__xludf.DUMMYFUNCTION("""COMPUTED_VALUE"""),2139.16)</f>
        <v>2139.16</v>
      </c>
      <c r="F346" s="1">
        <f ca="1">IFERROR(__xludf.DUMMYFUNCTION("""COMPUTED_VALUE"""),400617912)</f>
        <v>400617912</v>
      </c>
    </row>
    <row r="347" spans="1:6" ht="13" x14ac:dyDescent="0.15">
      <c r="A347" s="2">
        <f ca="1">IFERROR(__xludf.DUMMYFUNCTION("""COMPUTED_VALUE"""),42632.6666666666)</f>
        <v>42632.666666666599</v>
      </c>
      <c r="B347" s="1">
        <f ca="1">IFERROR(__xludf.DUMMYFUNCTION("""COMPUTED_VALUE"""),2143.99)</f>
        <v>2143.9899999999998</v>
      </c>
      <c r="C347" s="1">
        <f ca="1">IFERROR(__xludf.DUMMYFUNCTION("""COMPUTED_VALUE"""),2153.61)</f>
        <v>2153.61</v>
      </c>
      <c r="D347" s="1">
        <f ca="1">IFERROR(__xludf.DUMMYFUNCTION("""COMPUTED_VALUE"""),2135.91)</f>
        <v>2135.91</v>
      </c>
      <c r="E347" s="1">
        <f ca="1">IFERROR(__xludf.DUMMYFUNCTION("""COMPUTED_VALUE"""),2139.12)</f>
        <v>2139.12</v>
      </c>
      <c r="F347" s="1">
        <f ca="1">IFERROR(__xludf.DUMMYFUNCTION("""COMPUTED_VALUE"""),513135966)</f>
        <v>513135966</v>
      </c>
    </row>
    <row r="348" spans="1:6" ht="13" x14ac:dyDescent="0.15">
      <c r="A348" s="2">
        <f ca="1">IFERROR(__xludf.DUMMYFUNCTION("""COMPUTED_VALUE"""),42633.6666666666)</f>
        <v>42633.666666666599</v>
      </c>
      <c r="B348" s="1">
        <f ca="1">IFERROR(__xludf.DUMMYFUNCTION("""COMPUTED_VALUE"""),2145.94)</f>
        <v>2145.94</v>
      </c>
      <c r="C348" s="1">
        <f ca="1">IFERROR(__xludf.DUMMYFUNCTION("""COMPUTED_VALUE"""),2150.8)</f>
        <v>2150.8000000000002</v>
      </c>
      <c r="D348" s="1">
        <f ca="1">IFERROR(__xludf.DUMMYFUNCTION("""COMPUTED_VALUE"""),2139.17)</f>
        <v>2139.17</v>
      </c>
      <c r="E348" s="1">
        <f ca="1">IFERROR(__xludf.DUMMYFUNCTION("""COMPUTED_VALUE"""),2139.76)</f>
        <v>2139.7600000000002</v>
      </c>
      <c r="F348" s="1">
        <f ca="1">IFERROR(__xludf.DUMMYFUNCTION("""COMPUTED_VALUE"""),484990399)</f>
        <v>484990399</v>
      </c>
    </row>
    <row r="349" spans="1:6" ht="13" x14ac:dyDescent="0.15">
      <c r="A349" s="2">
        <f ca="1">IFERROR(__xludf.DUMMYFUNCTION("""COMPUTED_VALUE"""),42634.6666666666)</f>
        <v>42634.666666666599</v>
      </c>
      <c r="B349" s="1">
        <f ca="1">IFERROR(__xludf.DUMMYFUNCTION("""COMPUTED_VALUE"""),2144.58)</f>
        <v>2144.58</v>
      </c>
      <c r="C349" s="1">
        <f ca="1">IFERROR(__xludf.DUMMYFUNCTION("""COMPUTED_VALUE"""),2165.11)</f>
        <v>2165.11</v>
      </c>
      <c r="D349" s="1">
        <f ca="1">IFERROR(__xludf.DUMMYFUNCTION("""COMPUTED_VALUE"""),2139.57)</f>
        <v>2139.5700000000002</v>
      </c>
      <c r="E349" s="1">
        <f ca="1">IFERROR(__xludf.DUMMYFUNCTION("""COMPUTED_VALUE"""),2163.12)</f>
        <v>2163.12</v>
      </c>
      <c r="F349" s="1">
        <f ca="1">IFERROR(__xludf.DUMMYFUNCTION("""COMPUTED_VALUE"""),584045429)</f>
        <v>584045429</v>
      </c>
    </row>
    <row r="350" spans="1:6" ht="13" x14ac:dyDescent="0.15">
      <c r="A350" s="2">
        <f ca="1">IFERROR(__xludf.DUMMYFUNCTION("""COMPUTED_VALUE"""),42635.6666666666)</f>
        <v>42635.666666666599</v>
      </c>
      <c r="B350" s="1">
        <f ca="1">IFERROR(__xludf.DUMMYFUNCTION("""COMPUTED_VALUE"""),2170.94)</f>
        <v>2170.94</v>
      </c>
      <c r="C350" s="1">
        <f ca="1">IFERROR(__xludf.DUMMYFUNCTION("""COMPUTED_VALUE"""),2179.99)</f>
        <v>2179.9899999999998</v>
      </c>
      <c r="D350" s="1">
        <f ca="1">IFERROR(__xludf.DUMMYFUNCTION("""COMPUTED_VALUE"""),2170.94)</f>
        <v>2170.94</v>
      </c>
      <c r="E350" s="1">
        <f ca="1">IFERROR(__xludf.DUMMYFUNCTION("""COMPUTED_VALUE"""),2177.18)</f>
        <v>2177.1799999999998</v>
      </c>
      <c r="F350" s="1">
        <f ca="1">IFERROR(__xludf.DUMMYFUNCTION("""COMPUTED_VALUE"""),521694980)</f>
        <v>521694980</v>
      </c>
    </row>
    <row r="351" spans="1:6" ht="13" x14ac:dyDescent="0.15">
      <c r="A351" s="2">
        <f ca="1">IFERROR(__xludf.DUMMYFUNCTION("""COMPUTED_VALUE"""),42636.6666666666)</f>
        <v>42636.666666666599</v>
      </c>
      <c r="B351" s="1">
        <f ca="1">IFERROR(__xludf.DUMMYFUNCTION("""COMPUTED_VALUE"""),2173.29)</f>
        <v>2173.29</v>
      </c>
      <c r="C351" s="1">
        <f ca="1">IFERROR(__xludf.DUMMYFUNCTION("""COMPUTED_VALUE"""),2173.75)</f>
        <v>2173.75</v>
      </c>
      <c r="D351" s="1">
        <f ca="1">IFERROR(__xludf.DUMMYFUNCTION("""COMPUTED_VALUE"""),2163.97)</f>
        <v>2163.9699999999998</v>
      </c>
      <c r="E351" s="1">
        <f ca="1">IFERROR(__xludf.DUMMYFUNCTION("""COMPUTED_VALUE"""),2164.69)</f>
        <v>2164.69</v>
      </c>
      <c r="F351" s="1">
        <f ca="1">IFERROR(__xludf.DUMMYFUNCTION("""COMPUTED_VALUE"""),520708916)</f>
        <v>520708916</v>
      </c>
    </row>
    <row r="352" spans="1:6" ht="13" x14ac:dyDescent="0.15">
      <c r="A352" s="2">
        <f ca="1">IFERROR(__xludf.DUMMYFUNCTION("""COMPUTED_VALUE"""),42639.6666666666)</f>
        <v>42639.666666666599</v>
      </c>
      <c r="B352" s="1">
        <f ca="1">IFERROR(__xludf.DUMMYFUNCTION("""COMPUTED_VALUE"""),2158.54)</f>
        <v>2158.54</v>
      </c>
      <c r="C352" s="1">
        <f ca="1">IFERROR(__xludf.DUMMYFUNCTION("""COMPUTED_VALUE"""),2158.54)</f>
        <v>2158.54</v>
      </c>
      <c r="D352" s="1">
        <f ca="1">IFERROR(__xludf.DUMMYFUNCTION("""COMPUTED_VALUE"""),2145.04)</f>
        <v>2145.04</v>
      </c>
      <c r="E352" s="1">
        <f ca="1">IFERROR(__xludf.DUMMYFUNCTION("""COMPUTED_VALUE"""),2146.1)</f>
        <v>2146.1</v>
      </c>
      <c r="F352" s="1">
        <f ca="1">IFERROR(__xludf.DUMMYFUNCTION("""COMPUTED_VALUE"""),517726610)</f>
        <v>517726610</v>
      </c>
    </row>
    <row r="353" spans="1:6" ht="13" x14ac:dyDescent="0.15">
      <c r="A353" s="2">
        <f ca="1">IFERROR(__xludf.DUMMYFUNCTION("""COMPUTED_VALUE"""),42640.6666666666)</f>
        <v>42640.666666666599</v>
      </c>
      <c r="B353" s="1">
        <f ca="1">IFERROR(__xludf.DUMMYFUNCTION("""COMPUTED_VALUE"""),2146.04)</f>
        <v>2146.04</v>
      </c>
      <c r="C353" s="1">
        <f ca="1">IFERROR(__xludf.DUMMYFUNCTION("""COMPUTED_VALUE"""),2161.13)</f>
        <v>2161.13</v>
      </c>
      <c r="D353" s="1">
        <f ca="1">IFERROR(__xludf.DUMMYFUNCTION("""COMPUTED_VALUE"""),2141.55)</f>
        <v>2141.5500000000002</v>
      </c>
      <c r="E353" s="1">
        <f ca="1">IFERROR(__xludf.DUMMYFUNCTION("""COMPUTED_VALUE"""),2159.93)</f>
        <v>2159.9299999999998</v>
      </c>
      <c r="F353" s="1">
        <f ca="1">IFERROR(__xludf.DUMMYFUNCTION("""COMPUTED_VALUE"""),534092546)</f>
        <v>534092546</v>
      </c>
    </row>
    <row r="354" spans="1:6" ht="13" x14ac:dyDescent="0.15">
      <c r="A354" s="2">
        <f ca="1">IFERROR(__xludf.DUMMYFUNCTION("""COMPUTED_VALUE"""),42641.6666666666)</f>
        <v>42641.666666666599</v>
      </c>
      <c r="B354" s="1">
        <f ca="1">IFERROR(__xludf.DUMMYFUNCTION("""COMPUTED_VALUE"""),2161.85)</f>
        <v>2161.85</v>
      </c>
      <c r="C354" s="1">
        <f ca="1">IFERROR(__xludf.DUMMYFUNCTION("""COMPUTED_VALUE"""),2172.4)</f>
        <v>2172.4</v>
      </c>
      <c r="D354" s="1">
        <f ca="1">IFERROR(__xludf.DUMMYFUNCTION("""COMPUTED_VALUE"""),2151.79)</f>
        <v>2151.79</v>
      </c>
      <c r="E354" s="1">
        <f ca="1">IFERROR(__xludf.DUMMYFUNCTION("""COMPUTED_VALUE"""),2171.37)</f>
        <v>2171.37</v>
      </c>
      <c r="F354" s="1">
        <f ca="1">IFERROR(__xludf.DUMMYFUNCTION("""COMPUTED_VALUE"""),558057164)</f>
        <v>558057164</v>
      </c>
    </row>
    <row r="355" spans="1:6" ht="13" x14ac:dyDescent="0.15">
      <c r="A355" s="2">
        <f ca="1">IFERROR(__xludf.DUMMYFUNCTION("""COMPUTED_VALUE"""),42642.6666666666)</f>
        <v>42642.666666666599</v>
      </c>
      <c r="B355" s="1">
        <f ca="1">IFERROR(__xludf.DUMMYFUNCTION("""COMPUTED_VALUE"""),2168.9)</f>
        <v>2168.9</v>
      </c>
      <c r="C355" s="1">
        <f ca="1">IFERROR(__xludf.DUMMYFUNCTION("""COMPUTED_VALUE"""),2172.67)</f>
        <v>2172.67</v>
      </c>
      <c r="D355" s="1">
        <f ca="1">IFERROR(__xludf.DUMMYFUNCTION("""COMPUTED_VALUE"""),2145.2)</f>
        <v>2145.1999999999998</v>
      </c>
      <c r="E355" s="1">
        <f ca="1">IFERROR(__xludf.DUMMYFUNCTION("""COMPUTED_VALUE"""),2151.13)</f>
        <v>2151.13</v>
      </c>
      <c r="F355" s="1">
        <f ca="1">IFERROR(__xludf.DUMMYFUNCTION("""COMPUTED_VALUE"""),616762353)</f>
        <v>616762353</v>
      </c>
    </row>
    <row r="356" spans="1:6" ht="13" x14ac:dyDescent="0.15">
      <c r="A356" s="2">
        <f ca="1">IFERROR(__xludf.DUMMYFUNCTION("""COMPUTED_VALUE"""),42643.6666666666)</f>
        <v>42643.666666666599</v>
      </c>
      <c r="B356" s="1">
        <f ca="1">IFERROR(__xludf.DUMMYFUNCTION("""COMPUTED_VALUE"""),2156.51)</f>
        <v>2156.5100000000002</v>
      </c>
      <c r="C356" s="1">
        <f ca="1">IFERROR(__xludf.DUMMYFUNCTION("""COMPUTED_VALUE"""),2175.3)</f>
        <v>2175.3000000000002</v>
      </c>
      <c r="D356" s="1">
        <f ca="1">IFERROR(__xludf.DUMMYFUNCTION("""COMPUTED_VALUE"""),2156.51)</f>
        <v>2156.5100000000002</v>
      </c>
      <c r="E356" s="1">
        <f ca="1">IFERROR(__xludf.DUMMYFUNCTION("""COMPUTED_VALUE"""),2168.27)</f>
        <v>2168.27</v>
      </c>
      <c r="F356" s="1">
        <f ca="1">IFERROR(__xludf.DUMMYFUNCTION("""COMPUTED_VALUE"""),809085274)</f>
        <v>809085274</v>
      </c>
    </row>
    <row r="357" spans="1:6" ht="13" x14ac:dyDescent="0.15">
      <c r="A357" s="2">
        <f ca="1">IFERROR(__xludf.DUMMYFUNCTION("""COMPUTED_VALUE"""),42646.6666666666)</f>
        <v>42646.666666666599</v>
      </c>
      <c r="B357" s="1">
        <f ca="1">IFERROR(__xludf.DUMMYFUNCTION("""COMPUTED_VALUE"""),2164.33)</f>
        <v>2164.33</v>
      </c>
      <c r="C357" s="1">
        <f ca="1">IFERROR(__xludf.DUMMYFUNCTION("""COMPUTED_VALUE"""),2164.41)</f>
        <v>2164.41</v>
      </c>
      <c r="D357" s="1">
        <f ca="1">IFERROR(__xludf.DUMMYFUNCTION("""COMPUTED_VALUE"""),2154.77)</f>
        <v>2154.77</v>
      </c>
      <c r="E357" s="1">
        <f ca="1">IFERROR(__xludf.DUMMYFUNCTION("""COMPUTED_VALUE"""),2161.2)</f>
        <v>2161.1999999999998</v>
      </c>
      <c r="F357" s="1">
        <f ca="1">IFERROR(__xludf.DUMMYFUNCTION("""COMPUTED_VALUE"""),514417686)</f>
        <v>514417686</v>
      </c>
    </row>
    <row r="358" spans="1:6" ht="13" x14ac:dyDescent="0.15">
      <c r="A358" s="2">
        <f ca="1">IFERROR(__xludf.DUMMYFUNCTION("""COMPUTED_VALUE"""),42647.6666666666)</f>
        <v>42647.666666666599</v>
      </c>
      <c r="B358" s="1">
        <f ca="1">IFERROR(__xludf.DUMMYFUNCTION("""COMPUTED_VALUE"""),2163.37)</f>
        <v>2163.37</v>
      </c>
      <c r="C358" s="1">
        <f ca="1">IFERROR(__xludf.DUMMYFUNCTION("""COMPUTED_VALUE"""),2165.46)</f>
        <v>2165.46</v>
      </c>
      <c r="D358" s="1">
        <f ca="1">IFERROR(__xludf.DUMMYFUNCTION("""COMPUTED_VALUE"""),2144.01)</f>
        <v>2144.0100000000002</v>
      </c>
      <c r="E358" s="1">
        <f ca="1">IFERROR(__xludf.DUMMYFUNCTION("""COMPUTED_VALUE"""),2150.49)</f>
        <v>2150.4899999999998</v>
      </c>
      <c r="F358" s="1">
        <f ca="1">IFERROR(__xludf.DUMMYFUNCTION("""COMPUTED_VALUE"""),562930985)</f>
        <v>562930985</v>
      </c>
    </row>
    <row r="359" spans="1:6" ht="13" x14ac:dyDescent="0.15">
      <c r="A359" s="2">
        <f ca="1">IFERROR(__xludf.DUMMYFUNCTION("""COMPUTED_VALUE"""),42648.6666666666)</f>
        <v>42648.666666666599</v>
      </c>
      <c r="B359" s="1">
        <f ca="1">IFERROR(__xludf.DUMMYFUNCTION("""COMPUTED_VALUE"""),2155.15)</f>
        <v>2155.15</v>
      </c>
      <c r="C359" s="1">
        <f ca="1">IFERROR(__xludf.DUMMYFUNCTION("""COMPUTED_VALUE"""),2163.95)</f>
        <v>2163.9499999999998</v>
      </c>
      <c r="D359" s="1">
        <f ca="1">IFERROR(__xludf.DUMMYFUNCTION("""COMPUTED_VALUE"""),2155.15)</f>
        <v>2155.15</v>
      </c>
      <c r="E359" s="1">
        <f ca="1">IFERROR(__xludf.DUMMYFUNCTION("""COMPUTED_VALUE"""),2159.73)</f>
        <v>2159.73</v>
      </c>
      <c r="F359" s="1">
        <f ca="1">IFERROR(__xludf.DUMMYFUNCTION("""COMPUTED_VALUE"""),599657716)</f>
        <v>599657716</v>
      </c>
    </row>
    <row r="360" spans="1:6" ht="13" x14ac:dyDescent="0.15">
      <c r="A360" s="2">
        <f ca="1">IFERROR(__xludf.DUMMYFUNCTION("""COMPUTED_VALUE"""),42649.6666666666)</f>
        <v>42649.666666666599</v>
      </c>
      <c r="B360" s="1">
        <f ca="1">IFERROR(__xludf.DUMMYFUNCTION("""COMPUTED_VALUE"""),2158.22)</f>
        <v>2158.2199999999998</v>
      </c>
      <c r="C360" s="1">
        <f ca="1">IFERROR(__xludf.DUMMYFUNCTION("""COMPUTED_VALUE"""),2162.93)</f>
        <v>2162.9299999999998</v>
      </c>
      <c r="D360" s="1">
        <f ca="1">IFERROR(__xludf.DUMMYFUNCTION("""COMPUTED_VALUE"""),2150.28)</f>
        <v>2150.2800000000002</v>
      </c>
      <c r="E360" s="1">
        <f ca="1">IFERROR(__xludf.DUMMYFUNCTION("""COMPUTED_VALUE"""),2160.77)</f>
        <v>2160.77</v>
      </c>
      <c r="F360" s="1">
        <f ca="1">IFERROR(__xludf.DUMMYFUNCTION("""COMPUTED_VALUE"""),517703265)</f>
        <v>517703265</v>
      </c>
    </row>
    <row r="361" spans="1:6" ht="13" x14ac:dyDescent="0.15">
      <c r="A361" s="2">
        <f ca="1">IFERROR(__xludf.DUMMYFUNCTION("""COMPUTED_VALUE"""),42650.6666666666)</f>
        <v>42650.666666666599</v>
      </c>
      <c r="B361" s="1">
        <f ca="1">IFERROR(__xludf.DUMMYFUNCTION("""COMPUTED_VALUE"""),2164.19)</f>
        <v>2164.19</v>
      </c>
      <c r="C361" s="1">
        <f ca="1">IFERROR(__xludf.DUMMYFUNCTION("""COMPUTED_VALUE"""),2165.86)</f>
        <v>2165.86</v>
      </c>
      <c r="D361" s="1">
        <f ca="1">IFERROR(__xludf.DUMMYFUNCTION("""COMPUTED_VALUE"""),2144.85)</f>
        <v>2144.85</v>
      </c>
      <c r="E361" s="1">
        <f ca="1">IFERROR(__xludf.DUMMYFUNCTION("""COMPUTED_VALUE"""),2153.74)</f>
        <v>2153.7399999999998</v>
      </c>
      <c r="F361" s="1">
        <f ca="1">IFERROR(__xludf.DUMMYFUNCTION("""COMPUTED_VALUE"""),620211022)</f>
        <v>620211022</v>
      </c>
    </row>
    <row r="362" spans="1:6" ht="13" x14ac:dyDescent="0.15">
      <c r="A362" s="2">
        <f ca="1">IFERROR(__xludf.DUMMYFUNCTION("""COMPUTED_VALUE"""),42653.6666666666)</f>
        <v>42653.666666666599</v>
      </c>
      <c r="B362" s="1">
        <f ca="1">IFERROR(__xludf.DUMMYFUNCTION("""COMPUTED_VALUE"""),2160.39)</f>
        <v>2160.39</v>
      </c>
      <c r="C362" s="1">
        <f ca="1">IFERROR(__xludf.DUMMYFUNCTION("""COMPUTED_VALUE"""),2169.6)</f>
        <v>2169.6</v>
      </c>
      <c r="D362" s="1">
        <f ca="1">IFERROR(__xludf.DUMMYFUNCTION("""COMPUTED_VALUE"""),2160.39)</f>
        <v>2160.39</v>
      </c>
      <c r="E362" s="1">
        <f ca="1">IFERROR(__xludf.DUMMYFUNCTION("""COMPUTED_VALUE"""),2163.66)</f>
        <v>2163.66</v>
      </c>
      <c r="F362" s="1">
        <f ca="1">IFERROR(__xludf.DUMMYFUNCTION("""COMPUTED_VALUE"""),452832485)</f>
        <v>452832485</v>
      </c>
    </row>
    <row r="363" spans="1:6" ht="13" x14ac:dyDescent="0.15">
      <c r="A363" s="2">
        <f ca="1">IFERROR(__xludf.DUMMYFUNCTION("""COMPUTED_VALUE"""),42654.6666666666)</f>
        <v>42654.666666666599</v>
      </c>
      <c r="B363" s="1">
        <f ca="1">IFERROR(__xludf.DUMMYFUNCTION("""COMPUTED_VALUE"""),2161.35)</f>
        <v>2161.35</v>
      </c>
      <c r="C363" s="1">
        <f ca="1">IFERROR(__xludf.DUMMYFUNCTION("""COMPUTED_VALUE"""),2161.56)</f>
        <v>2161.56</v>
      </c>
      <c r="D363" s="1">
        <f ca="1">IFERROR(__xludf.DUMMYFUNCTION("""COMPUTED_VALUE"""),2128.84)</f>
        <v>2128.84</v>
      </c>
      <c r="E363" s="1">
        <f ca="1">IFERROR(__xludf.DUMMYFUNCTION("""COMPUTED_VALUE"""),2136.73)</f>
        <v>2136.73</v>
      </c>
      <c r="F363" s="1">
        <f ca="1">IFERROR(__xludf.DUMMYFUNCTION("""COMPUTED_VALUE"""),576873524)</f>
        <v>576873524</v>
      </c>
    </row>
    <row r="364" spans="1:6" ht="13" x14ac:dyDescent="0.15">
      <c r="A364" s="2">
        <f ca="1">IFERROR(__xludf.DUMMYFUNCTION("""COMPUTED_VALUE"""),42655.6666666666)</f>
        <v>42655.666666666599</v>
      </c>
      <c r="B364" s="1">
        <f ca="1">IFERROR(__xludf.DUMMYFUNCTION("""COMPUTED_VALUE"""),2137.67)</f>
        <v>2137.67</v>
      </c>
      <c r="C364" s="1">
        <f ca="1">IFERROR(__xludf.DUMMYFUNCTION("""COMPUTED_VALUE"""),2145.36)</f>
        <v>2145.36</v>
      </c>
      <c r="D364" s="1">
        <f ca="1">IFERROR(__xludf.DUMMYFUNCTION("""COMPUTED_VALUE"""),2132.77)</f>
        <v>2132.77</v>
      </c>
      <c r="E364" s="1">
        <f ca="1">IFERROR(__xludf.DUMMYFUNCTION("""COMPUTED_VALUE"""),2139.18)</f>
        <v>2139.1799999999998</v>
      </c>
      <c r="F364" s="1">
        <f ca="1">IFERROR(__xludf.DUMMYFUNCTION("""COMPUTED_VALUE"""),458983794)</f>
        <v>458983794</v>
      </c>
    </row>
    <row r="365" spans="1:6" ht="13" x14ac:dyDescent="0.15">
      <c r="A365" s="2">
        <f ca="1">IFERROR(__xludf.DUMMYFUNCTION("""COMPUTED_VALUE"""),42656.6666666666)</f>
        <v>42656.666666666599</v>
      </c>
      <c r="B365" s="1">
        <f ca="1">IFERROR(__xludf.DUMMYFUNCTION("""COMPUTED_VALUE"""),2130.26)</f>
        <v>2130.2600000000002</v>
      </c>
      <c r="C365" s="1">
        <f ca="1">IFERROR(__xludf.DUMMYFUNCTION("""COMPUTED_VALUE"""),2138.19)</f>
        <v>2138.19</v>
      </c>
      <c r="D365" s="1">
        <f ca="1">IFERROR(__xludf.DUMMYFUNCTION("""COMPUTED_VALUE"""),2114.72)</f>
        <v>2114.7199999999998</v>
      </c>
      <c r="E365" s="1">
        <f ca="1">IFERROR(__xludf.DUMMYFUNCTION("""COMPUTED_VALUE"""),2132.55)</f>
        <v>2132.5500000000002</v>
      </c>
      <c r="F365" s="1">
        <f ca="1">IFERROR(__xludf.DUMMYFUNCTION("""COMPUTED_VALUE"""),561305794)</f>
        <v>561305794</v>
      </c>
    </row>
    <row r="366" spans="1:6" ht="13" x14ac:dyDescent="0.15">
      <c r="A366" s="2">
        <f ca="1">IFERROR(__xludf.DUMMYFUNCTION("""COMPUTED_VALUE"""),42657.6666666666)</f>
        <v>42657.666666666599</v>
      </c>
      <c r="B366" s="1">
        <f ca="1">IFERROR(__xludf.DUMMYFUNCTION("""COMPUTED_VALUE"""),2139.68)</f>
        <v>2139.6799999999998</v>
      </c>
      <c r="C366" s="1">
        <f ca="1">IFERROR(__xludf.DUMMYFUNCTION("""COMPUTED_VALUE"""),2149.19)</f>
        <v>2149.19</v>
      </c>
      <c r="D366" s="1">
        <f ca="1">IFERROR(__xludf.DUMMYFUNCTION("""COMPUTED_VALUE"""),2132.98)</f>
        <v>2132.98</v>
      </c>
      <c r="E366" s="1">
        <f ca="1">IFERROR(__xludf.DUMMYFUNCTION("""COMPUTED_VALUE"""),2132.98)</f>
        <v>2132.98</v>
      </c>
      <c r="F366" s="1">
        <f ca="1">IFERROR(__xludf.DUMMYFUNCTION("""COMPUTED_VALUE"""),548993154)</f>
        <v>548993154</v>
      </c>
    </row>
    <row r="367" spans="1:6" ht="13" x14ac:dyDescent="0.15">
      <c r="A367" s="2">
        <f ca="1">IFERROR(__xludf.DUMMYFUNCTION("""COMPUTED_VALUE"""),42660.6666666666)</f>
        <v>42660.666666666599</v>
      </c>
      <c r="B367" s="1">
        <f ca="1">IFERROR(__xludf.DUMMYFUNCTION("""COMPUTED_VALUE"""),2132.95)</f>
        <v>2132.9499999999998</v>
      </c>
      <c r="C367" s="1">
        <f ca="1">IFERROR(__xludf.DUMMYFUNCTION("""COMPUTED_VALUE"""),2135.61)</f>
        <v>2135.61</v>
      </c>
      <c r="D367" s="1">
        <f ca="1">IFERROR(__xludf.DUMMYFUNCTION("""COMPUTED_VALUE"""),2124.43)</f>
        <v>2124.4299999999998</v>
      </c>
      <c r="E367" s="1">
        <f ca="1">IFERROR(__xludf.DUMMYFUNCTION("""COMPUTED_VALUE"""),2126.5)</f>
        <v>2126.5</v>
      </c>
      <c r="F367" s="1">
        <f ca="1">IFERROR(__xludf.DUMMYFUNCTION("""COMPUTED_VALUE"""),479259921)</f>
        <v>479259921</v>
      </c>
    </row>
    <row r="368" spans="1:6" ht="13" x14ac:dyDescent="0.15">
      <c r="A368" s="2">
        <f ca="1">IFERROR(__xludf.DUMMYFUNCTION("""COMPUTED_VALUE"""),42661.6666666666)</f>
        <v>42661.666666666599</v>
      </c>
      <c r="B368" s="1">
        <f ca="1">IFERROR(__xludf.DUMMYFUNCTION("""COMPUTED_VALUE"""),2138.31)</f>
        <v>2138.31</v>
      </c>
      <c r="C368" s="1">
        <f ca="1">IFERROR(__xludf.DUMMYFUNCTION("""COMPUTED_VALUE"""),2144.38)</f>
        <v>2144.38</v>
      </c>
      <c r="D368" s="1">
        <f ca="1">IFERROR(__xludf.DUMMYFUNCTION("""COMPUTED_VALUE"""),2135.49)</f>
        <v>2135.4899999999998</v>
      </c>
      <c r="E368" s="1">
        <f ca="1">IFERROR(__xludf.DUMMYFUNCTION("""COMPUTED_VALUE"""),2139.6)</f>
        <v>2139.6</v>
      </c>
      <c r="F368" s="1">
        <f ca="1">IFERROR(__xludf.DUMMYFUNCTION("""COMPUTED_VALUE"""),475279452)</f>
        <v>475279452</v>
      </c>
    </row>
    <row r="369" spans="1:6" ht="13" x14ac:dyDescent="0.15">
      <c r="A369" s="2">
        <f ca="1">IFERROR(__xludf.DUMMYFUNCTION("""COMPUTED_VALUE"""),42662.6666666666)</f>
        <v>42662.666666666599</v>
      </c>
      <c r="B369" s="1">
        <f ca="1">IFERROR(__xludf.DUMMYFUNCTION("""COMPUTED_VALUE"""),2140.81)</f>
        <v>2140.81</v>
      </c>
      <c r="C369" s="1">
        <f ca="1">IFERROR(__xludf.DUMMYFUNCTION("""COMPUTED_VALUE"""),2148.44)</f>
        <v>2148.44</v>
      </c>
      <c r="D369" s="1">
        <f ca="1">IFERROR(__xludf.DUMMYFUNCTION("""COMPUTED_VALUE"""),2138.15)</f>
        <v>2138.15</v>
      </c>
      <c r="E369" s="1">
        <f ca="1">IFERROR(__xludf.DUMMYFUNCTION("""COMPUTED_VALUE"""),2144.29)</f>
        <v>2144.29</v>
      </c>
      <c r="F369" s="1">
        <f ca="1">IFERROR(__xludf.DUMMYFUNCTION("""COMPUTED_VALUE"""),544371390)</f>
        <v>544371390</v>
      </c>
    </row>
    <row r="370" spans="1:6" ht="13" x14ac:dyDescent="0.15">
      <c r="A370" s="2">
        <f ca="1">IFERROR(__xludf.DUMMYFUNCTION("""COMPUTED_VALUE"""),42663.6666666666)</f>
        <v>42663.666666666599</v>
      </c>
      <c r="B370" s="1">
        <f ca="1">IFERROR(__xludf.DUMMYFUNCTION("""COMPUTED_VALUE"""),2142.51)</f>
        <v>2142.5100000000002</v>
      </c>
      <c r="C370" s="1">
        <f ca="1">IFERROR(__xludf.DUMMYFUNCTION("""COMPUTED_VALUE"""),2147.18)</f>
        <v>2147.1799999999998</v>
      </c>
      <c r="D370" s="1">
        <f ca="1">IFERROR(__xludf.DUMMYFUNCTION("""COMPUTED_VALUE"""),2133.44)</f>
        <v>2133.44</v>
      </c>
      <c r="E370" s="1">
        <f ca="1">IFERROR(__xludf.DUMMYFUNCTION("""COMPUTED_VALUE"""),2141.34)</f>
        <v>2141.34</v>
      </c>
      <c r="F370" s="1">
        <f ca="1">IFERROR(__xludf.DUMMYFUNCTION("""COMPUTED_VALUE"""),571361511)</f>
        <v>571361511</v>
      </c>
    </row>
    <row r="371" spans="1:6" ht="13" x14ac:dyDescent="0.15">
      <c r="A371" s="2">
        <f ca="1">IFERROR(__xludf.DUMMYFUNCTION("""COMPUTED_VALUE"""),42664.6666666666)</f>
        <v>42664.666666666599</v>
      </c>
      <c r="B371" s="1">
        <f ca="1">IFERROR(__xludf.DUMMYFUNCTION("""COMPUTED_VALUE"""),2139.43)</f>
        <v>2139.4299999999998</v>
      </c>
      <c r="C371" s="1">
        <f ca="1">IFERROR(__xludf.DUMMYFUNCTION("""COMPUTED_VALUE"""),2142.63)</f>
        <v>2142.63</v>
      </c>
      <c r="D371" s="1">
        <f ca="1">IFERROR(__xludf.DUMMYFUNCTION("""COMPUTED_VALUE"""),2130.09)</f>
        <v>2130.09</v>
      </c>
      <c r="E371" s="1">
        <f ca="1">IFERROR(__xludf.DUMMYFUNCTION("""COMPUTED_VALUE"""),2141.16)</f>
        <v>2141.16</v>
      </c>
      <c r="F371" s="1">
        <f ca="1">IFERROR(__xludf.DUMMYFUNCTION("""COMPUTED_VALUE"""),654860857)</f>
        <v>654860857</v>
      </c>
    </row>
    <row r="372" spans="1:6" ht="13" x14ac:dyDescent="0.15">
      <c r="A372" s="2">
        <f ca="1">IFERROR(__xludf.DUMMYFUNCTION("""COMPUTED_VALUE"""),42667.6666666666)</f>
        <v>42667.666666666599</v>
      </c>
      <c r="B372" s="1">
        <f ca="1">IFERROR(__xludf.DUMMYFUNCTION("""COMPUTED_VALUE"""),2148.5)</f>
        <v>2148.5</v>
      </c>
      <c r="C372" s="1">
        <f ca="1">IFERROR(__xludf.DUMMYFUNCTION("""COMPUTED_VALUE"""),2154.79)</f>
        <v>2154.79</v>
      </c>
      <c r="D372" s="1">
        <f ca="1">IFERROR(__xludf.DUMMYFUNCTION("""COMPUTED_VALUE"""),2146.91)</f>
        <v>2146.91</v>
      </c>
      <c r="E372" s="1">
        <f ca="1">IFERROR(__xludf.DUMMYFUNCTION("""COMPUTED_VALUE"""),2151.33)</f>
        <v>2151.33</v>
      </c>
      <c r="F372" s="1">
        <f ca="1">IFERROR(__xludf.DUMMYFUNCTION("""COMPUTED_VALUE"""),523564705)</f>
        <v>523564705</v>
      </c>
    </row>
    <row r="373" spans="1:6" ht="13" x14ac:dyDescent="0.15">
      <c r="A373" s="2">
        <f ca="1">IFERROR(__xludf.DUMMYFUNCTION("""COMPUTED_VALUE"""),42668.6666666666)</f>
        <v>42668.666666666599</v>
      </c>
      <c r="B373" s="1">
        <f ca="1">IFERROR(__xludf.DUMMYFUNCTION("""COMPUTED_VALUE"""),2149.72)</f>
        <v>2149.7199999999998</v>
      </c>
      <c r="C373" s="1">
        <f ca="1">IFERROR(__xludf.DUMMYFUNCTION("""COMPUTED_VALUE"""),2151.44)</f>
        <v>2151.44</v>
      </c>
      <c r="D373" s="1">
        <f ca="1">IFERROR(__xludf.DUMMYFUNCTION("""COMPUTED_VALUE"""),2141.93)</f>
        <v>2141.9299999999998</v>
      </c>
      <c r="E373" s="1">
        <f ca="1">IFERROR(__xludf.DUMMYFUNCTION("""COMPUTED_VALUE"""),2143.16)</f>
        <v>2143.16</v>
      </c>
      <c r="F373" s="1">
        <f ca="1">IFERROR(__xludf.DUMMYFUNCTION("""COMPUTED_VALUE"""),530792143)</f>
        <v>530792143</v>
      </c>
    </row>
    <row r="374" spans="1:6" ht="13" x14ac:dyDescent="0.15">
      <c r="A374" s="2">
        <f ca="1">IFERROR(__xludf.DUMMYFUNCTION("""COMPUTED_VALUE"""),42669.6666666666)</f>
        <v>42669.666666666599</v>
      </c>
      <c r="B374" s="1">
        <f ca="1">IFERROR(__xludf.DUMMYFUNCTION("""COMPUTED_VALUE"""),2136.97)</f>
        <v>2136.9699999999998</v>
      </c>
      <c r="C374" s="1">
        <f ca="1">IFERROR(__xludf.DUMMYFUNCTION("""COMPUTED_VALUE"""),2145.73)</f>
        <v>2145.73</v>
      </c>
      <c r="D374" s="1">
        <f ca="1">IFERROR(__xludf.DUMMYFUNCTION("""COMPUTED_VALUE"""),2131.59)</f>
        <v>2131.59</v>
      </c>
      <c r="E374" s="1">
        <f ca="1">IFERROR(__xludf.DUMMYFUNCTION("""COMPUTED_VALUE"""),2139.43)</f>
        <v>2139.4299999999998</v>
      </c>
      <c r="F374" s="1">
        <f ca="1">IFERROR(__xludf.DUMMYFUNCTION("""COMPUTED_VALUE"""),562087522)</f>
        <v>562087522</v>
      </c>
    </row>
    <row r="375" spans="1:6" ht="13" x14ac:dyDescent="0.15">
      <c r="A375" s="2">
        <f ca="1">IFERROR(__xludf.DUMMYFUNCTION("""COMPUTED_VALUE"""),42670.6666666666)</f>
        <v>42670.666666666599</v>
      </c>
      <c r="B375" s="1">
        <f ca="1">IFERROR(__xludf.DUMMYFUNCTION("""COMPUTED_VALUE"""),2144.06)</f>
        <v>2144.06</v>
      </c>
      <c r="C375" s="1">
        <f ca="1">IFERROR(__xludf.DUMMYFUNCTION("""COMPUTED_VALUE"""),2147.13)</f>
        <v>2147.13</v>
      </c>
      <c r="D375" s="1">
        <f ca="1">IFERROR(__xludf.DUMMYFUNCTION("""COMPUTED_VALUE"""),2132.52)</f>
        <v>2132.52</v>
      </c>
      <c r="E375" s="1">
        <f ca="1">IFERROR(__xludf.DUMMYFUNCTION("""COMPUTED_VALUE"""),2133.04)</f>
        <v>2133.04</v>
      </c>
      <c r="F375" s="1">
        <f ca="1">IFERROR(__xludf.DUMMYFUNCTION("""COMPUTED_VALUE"""),614708800)</f>
        <v>614708800</v>
      </c>
    </row>
    <row r="376" spans="1:6" ht="13" x14ac:dyDescent="0.15">
      <c r="A376" s="2">
        <f ca="1">IFERROR(__xludf.DUMMYFUNCTION("""COMPUTED_VALUE"""),42671.6666666666)</f>
        <v>42671.666666666599</v>
      </c>
      <c r="B376" s="1">
        <f ca="1">IFERROR(__xludf.DUMMYFUNCTION("""COMPUTED_VALUE"""),2132.23)</f>
        <v>2132.23</v>
      </c>
      <c r="C376" s="1">
        <f ca="1">IFERROR(__xludf.DUMMYFUNCTION("""COMPUTED_VALUE"""),2140.72)</f>
        <v>2140.7199999999998</v>
      </c>
      <c r="D376" s="1">
        <f ca="1">IFERROR(__xludf.DUMMYFUNCTION("""COMPUTED_VALUE"""),2119.36)</f>
        <v>2119.36</v>
      </c>
      <c r="E376" s="1">
        <f ca="1">IFERROR(__xludf.DUMMYFUNCTION("""COMPUTED_VALUE"""),2126.41)</f>
        <v>2126.41</v>
      </c>
      <c r="F376" s="1">
        <f ca="1">IFERROR(__xludf.DUMMYFUNCTION("""COMPUTED_VALUE"""),641367743)</f>
        <v>641367743</v>
      </c>
    </row>
    <row r="377" spans="1:6" ht="13" x14ac:dyDescent="0.15">
      <c r="A377" s="2">
        <f ca="1">IFERROR(__xludf.DUMMYFUNCTION("""COMPUTED_VALUE"""),42674.6666666666)</f>
        <v>42674.666666666599</v>
      </c>
      <c r="B377" s="1">
        <f ca="1">IFERROR(__xludf.DUMMYFUNCTION("""COMPUTED_VALUE"""),2129.78)</f>
        <v>2129.7800000000002</v>
      </c>
      <c r="C377" s="1">
        <f ca="1">IFERROR(__xludf.DUMMYFUNCTION("""COMPUTED_VALUE"""),2133.25)</f>
        <v>2133.25</v>
      </c>
      <c r="D377" s="1">
        <f ca="1">IFERROR(__xludf.DUMMYFUNCTION("""COMPUTED_VALUE"""),2125.53)</f>
        <v>2125.5300000000002</v>
      </c>
      <c r="E377" s="1">
        <f ca="1">IFERROR(__xludf.DUMMYFUNCTION("""COMPUTED_VALUE"""),2126.15)</f>
        <v>2126.15</v>
      </c>
      <c r="F377" s="1">
        <f ca="1">IFERROR(__xludf.DUMMYFUNCTION("""COMPUTED_VALUE"""),673263488)</f>
        <v>673263488</v>
      </c>
    </row>
    <row r="378" spans="1:6" ht="13" x14ac:dyDescent="0.15">
      <c r="A378" s="2">
        <f ca="1">IFERROR(__xludf.DUMMYFUNCTION("""COMPUTED_VALUE"""),42675.6666666666)</f>
        <v>42675.666666666599</v>
      </c>
      <c r="B378" s="1">
        <f ca="1">IFERROR(__xludf.DUMMYFUNCTION("""COMPUTED_VALUE"""),2128.68)</f>
        <v>2128.6799999999998</v>
      </c>
      <c r="C378" s="1">
        <f ca="1">IFERROR(__xludf.DUMMYFUNCTION("""COMPUTED_VALUE"""),2131.45)</f>
        <v>2131.4499999999998</v>
      </c>
      <c r="D378" s="1">
        <f ca="1">IFERROR(__xludf.DUMMYFUNCTION("""COMPUTED_VALUE"""),2097.85)</f>
        <v>2097.85</v>
      </c>
      <c r="E378" s="1">
        <f ca="1">IFERROR(__xludf.DUMMYFUNCTION("""COMPUTED_VALUE"""),2111.72)</f>
        <v>2111.7199999999998</v>
      </c>
      <c r="F378" s="1">
        <f ca="1">IFERROR(__xludf.DUMMYFUNCTION("""COMPUTED_VALUE"""),712604519)</f>
        <v>712604519</v>
      </c>
    </row>
    <row r="379" spans="1:6" ht="13" x14ac:dyDescent="0.15">
      <c r="A379" s="2">
        <f ca="1">IFERROR(__xludf.DUMMYFUNCTION("""COMPUTED_VALUE"""),42676.6666666666)</f>
        <v>42676.666666666599</v>
      </c>
      <c r="B379" s="1">
        <f ca="1">IFERROR(__xludf.DUMMYFUNCTION("""COMPUTED_VALUE"""),2109.43)</f>
        <v>2109.4299999999998</v>
      </c>
      <c r="C379" s="1">
        <f ca="1">IFERROR(__xludf.DUMMYFUNCTION("""COMPUTED_VALUE"""),2111.76)</f>
        <v>2111.7600000000002</v>
      </c>
      <c r="D379" s="1">
        <f ca="1">IFERROR(__xludf.DUMMYFUNCTION("""COMPUTED_VALUE"""),2094)</f>
        <v>2094</v>
      </c>
      <c r="E379" s="1">
        <f ca="1">IFERROR(__xludf.DUMMYFUNCTION("""COMPUTED_VALUE"""),2097.94)</f>
        <v>2097.94</v>
      </c>
      <c r="F379" s="1">
        <f ca="1">IFERROR(__xludf.DUMMYFUNCTION("""COMPUTED_VALUE"""),641501340)</f>
        <v>641501340</v>
      </c>
    </row>
    <row r="380" spans="1:6" ht="13" x14ac:dyDescent="0.15">
      <c r="A380" s="2">
        <f ca="1">IFERROR(__xludf.DUMMYFUNCTION("""COMPUTED_VALUE"""),42677.6666666666)</f>
        <v>42677.666666666599</v>
      </c>
      <c r="B380" s="1">
        <f ca="1">IFERROR(__xludf.DUMMYFUNCTION("""COMPUTED_VALUE"""),2098.8)</f>
        <v>2098.8000000000002</v>
      </c>
      <c r="C380" s="1">
        <f ca="1">IFERROR(__xludf.DUMMYFUNCTION("""COMPUTED_VALUE"""),2102.56)</f>
        <v>2102.56</v>
      </c>
      <c r="D380" s="1">
        <f ca="1">IFERROR(__xludf.DUMMYFUNCTION("""COMPUTED_VALUE"""),2085.23)</f>
        <v>2085.23</v>
      </c>
      <c r="E380" s="1">
        <f ca="1">IFERROR(__xludf.DUMMYFUNCTION("""COMPUTED_VALUE"""),2088.66)</f>
        <v>2088.66</v>
      </c>
      <c r="F380" s="1">
        <f ca="1">IFERROR(__xludf.DUMMYFUNCTION("""COMPUTED_VALUE"""),593008290)</f>
        <v>593008290</v>
      </c>
    </row>
    <row r="381" spans="1:6" ht="13" x14ac:dyDescent="0.15">
      <c r="A381" s="2">
        <f ca="1">IFERROR(__xludf.DUMMYFUNCTION("""COMPUTED_VALUE"""),42678.6666666666)</f>
        <v>42678.666666666599</v>
      </c>
      <c r="B381" s="1">
        <f ca="1">IFERROR(__xludf.DUMMYFUNCTION("""COMPUTED_VALUE"""),2083.79)</f>
        <v>2083.79</v>
      </c>
      <c r="C381" s="1">
        <f ca="1">IFERROR(__xludf.DUMMYFUNCTION("""COMPUTED_VALUE"""),2099.07)</f>
        <v>2099.0700000000002</v>
      </c>
      <c r="D381" s="1">
        <f ca="1">IFERROR(__xludf.DUMMYFUNCTION("""COMPUTED_VALUE"""),2083.79)</f>
        <v>2083.79</v>
      </c>
      <c r="E381" s="1">
        <f ca="1">IFERROR(__xludf.DUMMYFUNCTION("""COMPUTED_VALUE"""),2085.18)</f>
        <v>2085.1799999999998</v>
      </c>
      <c r="F381" s="1">
        <f ca="1">IFERROR(__xludf.DUMMYFUNCTION("""COMPUTED_VALUE"""),624672107)</f>
        <v>624672107</v>
      </c>
    </row>
    <row r="382" spans="1:6" ht="13" x14ac:dyDescent="0.15">
      <c r="A382" s="2">
        <f ca="1">IFERROR(__xludf.DUMMYFUNCTION("""COMPUTED_VALUE"""),42681.6666666666)</f>
        <v>42681.666666666599</v>
      </c>
      <c r="B382" s="1">
        <f ca="1">IFERROR(__xludf.DUMMYFUNCTION("""COMPUTED_VALUE"""),2100.59)</f>
        <v>2100.59</v>
      </c>
      <c r="C382" s="1">
        <f ca="1">IFERROR(__xludf.DUMMYFUNCTION("""COMPUTED_VALUE"""),2132)</f>
        <v>2132</v>
      </c>
      <c r="D382" s="1">
        <f ca="1">IFERROR(__xludf.DUMMYFUNCTION("""COMPUTED_VALUE"""),2100.59)</f>
        <v>2100.59</v>
      </c>
      <c r="E382" s="1">
        <f ca="1">IFERROR(__xludf.DUMMYFUNCTION("""COMPUTED_VALUE"""),2131.52)</f>
        <v>2131.52</v>
      </c>
      <c r="F382" s="1">
        <f ca="1">IFERROR(__xludf.DUMMYFUNCTION("""COMPUTED_VALUE"""),608621001)</f>
        <v>608621001</v>
      </c>
    </row>
    <row r="383" spans="1:6" ht="13" x14ac:dyDescent="0.15">
      <c r="A383" s="2">
        <f ca="1">IFERROR(__xludf.DUMMYFUNCTION("""COMPUTED_VALUE"""),42682.6666666666)</f>
        <v>42682.666666666599</v>
      </c>
      <c r="B383" s="1">
        <f ca="1">IFERROR(__xludf.DUMMYFUNCTION("""COMPUTED_VALUE"""),2129.92)</f>
        <v>2129.92</v>
      </c>
      <c r="C383" s="1">
        <f ca="1">IFERROR(__xludf.DUMMYFUNCTION("""COMPUTED_VALUE"""),2146.87)</f>
        <v>2146.87</v>
      </c>
      <c r="D383" s="1">
        <f ca="1">IFERROR(__xludf.DUMMYFUNCTION("""COMPUTED_VALUE"""),2123.56)</f>
        <v>2123.56</v>
      </c>
      <c r="E383" s="1">
        <f ca="1">IFERROR(__xludf.DUMMYFUNCTION("""COMPUTED_VALUE"""),2139.56)</f>
        <v>2139.56</v>
      </c>
      <c r="F383" s="1">
        <f ca="1">IFERROR(__xludf.DUMMYFUNCTION("""COMPUTED_VALUE"""),556634318)</f>
        <v>556634318</v>
      </c>
    </row>
    <row r="384" spans="1:6" ht="13" x14ac:dyDescent="0.15">
      <c r="A384" s="2">
        <f ca="1">IFERROR(__xludf.DUMMYFUNCTION("""COMPUTED_VALUE"""),42683.6666666666)</f>
        <v>42683.666666666599</v>
      </c>
      <c r="B384" s="1">
        <f ca="1">IFERROR(__xludf.DUMMYFUNCTION("""COMPUTED_VALUE"""),2131.56)</f>
        <v>2131.56</v>
      </c>
      <c r="C384" s="1">
        <f ca="1">IFERROR(__xludf.DUMMYFUNCTION("""COMPUTED_VALUE"""),2170.1)</f>
        <v>2170.1</v>
      </c>
      <c r="D384" s="1">
        <f ca="1">IFERROR(__xludf.DUMMYFUNCTION("""COMPUTED_VALUE"""),2125.35)</f>
        <v>2125.35</v>
      </c>
      <c r="E384" s="1">
        <f ca="1">IFERROR(__xludf.DUMMYFUNCTION("""COMPUTED_VALUE"""),2163.26)</f>
        <v>2163.2600000000002</v>
      </c>
      <c r="F384" s="1">
        <f ca="1">IFERROR(__xludf.DUMMYFUNCTION("""COMPUTED_VALUE"""),992770441)</f>
        <v>992770441</v>
      </c>
    </row>
    <row r="385" spans="1:6" ht="13" x14ac:dyDescent="0.15">
      <c r="A385" s="2">
        <f ca="1">IFERROR(__xludf.DUMMYFUNCTION("""COMPUTED_VALUE"""),42684.6666666666)</f>
        <v>42684.666666666599</v>
      </c>
      <c r="B385" s="1">
        <f ca="1">IFERROR(__xludf.DUMMYFUNCTION("""COMPUTED_VALUE"""),2167.49)</f>
        <v>2167.4899999999998</v>
      </c>
      <c r="C385" s="1">
        <f ca="1">IFERROR(__xludf.DUMMYFUNCTION("""COMPUTED_VALUE"""),2182.3)</f>
        <v>2182.3000000000002</v>
      </c>
      <c r="D385" s="1">
        <f ca="1">IFERROR(__xludf.DUMMYFUNCTION("""COMPUTED_VALUE"""),2151.17)</f>
        <v>2151.17</v>
      </c>
      <c r="E385" s="1">
        <f ca="1">IFERROR(__xludf.DUMMYFUNCTION("""COMPUTED_VALUE"""),2167.48)</f>
        <v>2167.48</v>
      </c>
      <c r="F385" s="1">
        <f ca="1">IFERROR(__xludf.DUMMYFUNCTION("""COMPUTED_VALUE"""),997868105)</f>
        <v>997868105</v>
      </c>
    </row>
    <row r="386" spans="1:6" ht="13" x14ac:dyDescent="0.15">
      <c r="A386" s="2">
        <f ca="1">IFERROR(__xludf.DUMMYFUNCTION("""COMPUTED_VALUE"""),42685.6666666666)</f>
        <v>42685.666666666599</v>
      </c>
      <c r="B386" s="1">
        <f ca="1">IFERROR(__xludf.DUMMYFUNCTION("""COMPUTED_VALUE"""),2162.71)</f>
        <v>2162.71</v>
      </c>
      <c r="C386" s="1">
        <f ca="1">IFERROR(__xludf.DUMMYFUNCTION("""COMPUTED_VALUE"""),2165.92)</f>
        <v>2165.92</v>
      </c>
      <c r="D386" s="1">
        <f ca="1">IFERROR(__xludf.DUMMYFUNCTION("""COMPUTED_VALUE"""),2152.49)</f>
        <v>2152.4899999999998</v>
      </c>
      <c r="E386" s="1">
        <f ca="1">IFERROR(__xludf.DUMMYFUNCTION("""COMPUTED_VALUE"""),2164.45)</f>
        <v>2164.4499999999998</v>
      </c>
      <c r="F386" s="1">
        <f ca="1">IFERROR(__xludf.DUMMYFUNCTION("""COMPUTED_VALUE"""),734601661)</f>
        <v>734601661</v>
      </c>
    </row>
    <row r="387" spans="1:6" ht="13" x14ac:dyDescent="0.15">
      <c r="A387" s="2">
        <f ca="1">IFERROR(__xludf.DUMMYFUNCTION("""COMPUTED_VALUE"""),42688.6666666666)</f>
        <v>42688.666666666599</v>
      </c>
      <c r="B387" s="1">
        <f ca="1">IFERROR(__xludf.DUMMYFUNCTION("""COMPUTED_VALUE"""),2165.64)</f>
        <v>2165.64</v>
      </c>
      <c r="C387" s="1">
        <f ca="1">IFERROR(__xludf.DUMMYFUNCTION("""COMPUTED_VALUE"""),2171.36)</f>
        <v>2171.36</v>
      </c>
      <c r="D387" s="1">
        <f ca="1">IFERROR(__xludf.DUMMYFUNCTION("""COMPUTED_VALUE"""),2156.08)</f>
        <v>2156.08</v>
      </c>
      <c r="E387" s="1">
        <f ca="1">IFERROR(__xludf.DUMMYFUNCTION("""COMPUTED_VALUE"""),2164.2)</f>
        <v>2164.1999999999998</v>
      </c>
      <c r="F387" s="1">
        <f ca="1">IFERROR(__xludf.DUMMYFUNCTION("""COMPUTED_VALUE"""),798242148)</f>
        <v>798242148</v>
      </c>
    </row>
    <row r="388" spans="1:6" ht="13" x14ac:dyDescent="0.15">
      <c r="A388" s="2">
        <f ca="1">IFERROR(__xludf.DUMMYFUNCTION("""COMPUTED_VALUE"""),42689.6666666666)</f>
        <v>42689.666666666599</v>
      </c>
      <c r="B388" s="1">
        <f ca="1">IFERROR(__xludf.DUMMYFUNCTION("""COMPUTED_VALUE"""),2168.29)</f>
        <v>2168.29</v>
      </c>
      <c r="C388" s="1">
        <f ca="1">IFERROR(__xludf.DUMMYFUNCTION("""COMPUTED_VALUE"""),2180.84)</f>
        <v>2180.84</v>
      </c>
      <c r="D388" s="1">
        <f ca="1">IFERROR(__xludf.DUMMYFUNCTION("""COMPUTED_VALUE"""),2166.38)</f>
        <v>2166.38</v>
      </c>
      <c r="E388" s="1">
        <f ca="1">IFERROR(__xludf.DUMMYFUNCTION("""COMPUTED_VALUE"""),2180.39)</f>
        <v>2180.39</v>
      </c>
      <c r="F388" s="1">
        <f ca="1">IFERROR(__xludf.DUMMYFUNCTION("""COMPUTED_VALUE"""),683976715)</f>
        <v>683976715</v>
      </c>
    </row>
    <row r="389" spans="1:6" ht="13" x14ac:dyDescent="0.15">
      <c r="A389" s="2">
        <f ca="1">IFERROR(__xludf.DUMMYFUNCTION("""COMPUTED_VALUE"""),42690.6666666666)</f>
        <v>42690.666666666599</v>
      </c>
      <c r="B389" s="1">
        <f ca="1">IFERROR(__xludf.DUMMYFUNCTION("""COMPUTED_VALUE"""),2177.53)</f>
        <v>2177.5300000000002</v>
      </c>
      <c r="C389" s="1">
        <f ca="1">IFERROR(__xludf.DUMMYFUNCTION("""COMPUTED_VALUE"""),2179.22)</f>
        <v>2179.2199999999998</v>
      </c>
      <c r="D389" s="1">
        <f ca="1">IFERROR(__xludf.DUMMYFUNCTION("""COMPUTED_VALUE"""),2172.2)</f>
        <v>2172.1999999999998</v>
      </c>
      <c r="E389" s="1">
        <f ca="1">IFERROR(__xludf.DUMMYFUNCTION("""COMPUTED_VALUE"""),2176.94)</f>
        <v>2176.94</v>
      </c>
      <c r="F389" s="1">
        <f ca="1">IFERROR(__xludf.DUMMYFUNCTION("""COMPUTED_VALUE"""),569327906)</f>
        <v>569327906</v>
      </c>
    </row>
    <row r="390" spans="1:6" ht="13" x14ac:dyDescent="0.15">
      <c r="A390" s="2">
        <f ca="1">IFERROR(__xludf.DUMMYFUNCTION("""COMPUTED_VALUE"""),42691.6666666666)</f>
        <v>42691.666666666599</v>
      </c>
      <c r="B390" s="1">
        <f ca="1">IFERROR(__xludf.DUMMYFUNCTION("""COMPUTED_VALUE"""),2178.61)</f>
        <v>2178.61</v>
      </c>
      <c r="C390" s="1">
        <f ca="1">IFERROR(__xludf.DUMMYFUNCTION("""COMPUTED_VALUE"""),2188.06)</f>
        <v>2188.06</v>
      </c>
      <c r="D390" s="1">
        <f ca="1">IFERROR(__xludf.DUMMYFUNCTION("""COMPUTED_VALUE"""),2176.65)</f>
        <v>2176.65</v>
      </c>
      <c r="E390" s="1">
        <f ca="1">IFERROR(__xludf.DUMMYFUNCTION("""COMPUTED_VALUE"""),2187.12)</f>
        <v>2187.12</v>
      </c>
      <c r="F390" s="1">
        <f ca="1">IFERROR(__xludf.DUMMYFUNCTION("""COMPUTED_VALUE"""),569018109)</f>
        <v>569018109</v>
      </c>
    </row>
    <row r="391" spans="1:6" ht="13" x14ac:dyDescent="0.15">
      <c r="A391" s="2">
        <f ca="1">IFERROR(__xludf.DUMMYFUNCTION("""COMPUTED_VALUE"""),42692.6666666666)</f>
        <v>42692.666666666599</v>
      </c>
      <c r="B391" s="1">
        <f ca="1">IFERROR(__xludf.DUMMYFUNCTION("""COMPUTED_VALUE"""),2186.85)</f>
        <v>2186.85</v>
      </c>
      <c r="C391" s="1">
        <f ca="1">IFERROR(__xludf.DUMMYFUNCTION("""COMPUTED_VALUE"""),2189.89)</f>
        <v>2189.89</v>
      </c>
      <c r="D391" s="1">
        <f ca="1">IFERROR(__xludf.DUMMYFUNCTION("""COMPUTED_VALUE"""),2180.38)</f>
        <v>2180.38</v>
      </c>
      <c r="E391" s="1">
        <f ca="1">IFERROR(__xludf.DUMMYFUNCTION("""COMPUTED_VALUE"""),2181.9)</f>
        <v>2181.9</v>
      </c>
      <c r="F391" s="1">
        <f ca="1">IFERROR(__xludf.DUMMYFUNCTION("""COMPUTED_VALUE"""),670518317)</f>
        <v>670518317</v>
      </c>
    </row>
    <row r="392" spans="1:6" ht="13" x14ac:dyDescent="0.15">
      <c r="A392" s="2">
        <f ca="1">IFERROR(__xludf.DUMMYFUNCTION("""COMPUTED_VALUE"""),42695.6666666666)</f>
        <v>42695.666666666599</v>
      </c>
      <c r="B392" s="1">
        <f ca="1">IFERROR(__xludf.DUMMYFUNCTION("""COMPUTED_VALUE"""),2186.43)</f>
        <v>2186.4299999999998</v>
      </c>
      <c r="C392" s="1">
        <f ca="1">IFERROR(__xludf.DUMMYFUNCTION("""COMPUTED_VALUE"""),2198.7)</f>
        <v>2198.6999999999998</v>
      </c>
      <c r="D392" s="1">
        <f ca="1">IFERROR(__xludf.DUMMYFUNCTION("""COMPUTED_VALUE"""),2186.43)</f>
        <v>2186.4299999999998</v>
      </c>
      <c r="E392" s="1">
        <f ca="1">IFERROR(__xludf.DUMMYFUNCTION("""COMPUTED_VALUE"""),2198.18)</f>
        <v>2198.1799999999998</v>
      </c>
      <c r="F392" s="1">
        <f ca="1">IFERROR(__xludf.DUMMYFUNCTION("""COMPUTED_VALUE"""),571010395)</f>
        <v>571010395</v>
      </c>
    </row>
    <row r="393" spans="1:6" ht="13" x14ac:dyDescent="0.15">
      <c r="A393" s="2">
        <f ca="1">IFERROR(__xludf.DUMMYFUNCTION("""COMPUTED_VALUE"""),42696.6666666666)</f>
        <v>42696.666666666599</v>
      </c>
      <c r="B393" s="1">
        <f ca="1">IFERROR(__xludf.DUMMYFUNCTION("""COMPUTED_VALUE"""),2201.56)</f>
        <v>2201.56</v>
      </c>
      <c r="C393" s="1">
        <f ca="1">IFERROR(__xludf.DUMMYFUNCTION("""COMPUTED_VALUE"""),2204.8)</f>
        <v>2204.8000000000002</v>
      </c>
      <c r="D393" s="1">
        <f ca="1">IFERROR(__xludf.DUMMYFUNCTION("""COMPUTED_VALUE"""),2194.51)</f>
        <v>2194.5100000000002</v>
      </c>
      <c r="E393" s="1">
        <f ca="1">IFERROR(__xludf.DUMMYFUNCTION("""COMPUTED_VALUE"""),2202.94)</f>
        <v>2202.94</v>
      </c>
      <c r="F393" s="1">
        <f ca="1">IFERROR(__xludf.DUMMYFUNCTION("""COMPUTED_VALUE"""),593601222)</f>
        <v>593601222</v>
      </c>
    </row>
    <row r="394" spans="1:6" ht="13" x14ac:dyDescent="0.15">
      <c r="A394" s="2">
        <f ca="1">IFERROR(__xludf.DUMMYFUNCTION("""COMPUTED_VALUE"""),42697.6666666666)</f>
        <v>42697.666666666599</v>
      </c>
      <c r="B394" s="1">
        <f ca="1">IFERROR(__xludf.DUMMYFUNCTION("""COMPUTED_VALUE"""),2198.55)</f>
        <v>2198.5500000000002</v>
      </c>
      <c r="C394" s="1">
        <f ca="1">IFERROR(__xludf.DUMMYFUNCTION("""COMPUTED_VALUE"""),2204.72)</f>
        <v>2204.7199999999998</v>
      </c>
      <c r="D394" s="1">
        <f ca="1">IFERROR(__xludf.DUMMYFUNCTION("""COMPUTED_VALUE"""),2194.51)</f>
        <v>2194.5100000000002</v>
      </c>
      <c r="E394" s="1">
        <f ca="1">IFERROR(__xludf.DUMMYFUNCTION("""COMPUTED_VALUE"""),2204.72)</f>
        <v>2204.7199999999998</v>
      </c>
      <c r="F394" s="1">
        <f ca="1">IFERROR(__xludf.DUMMYFUNCTION("""COMPUTED_VALUE"""),523778550)</f>
        <v>523778550</v>
      </c>
    </row>
    <row r="395" spans="1:6" ht="13" x14ac:dyDescent="0.15">
      <c r="A395" s="2">
        <f ca="1">IFERROR(__xludf.DUMMYFUNCTION("""COMPUTED_VALUE"""),42699.6666666666)</f>
        <v>42699.666666666599</v>
      </c>
      <c r="B395" s="1">
        <f ca="1">IFERROR(__xludf.DUMMYFUNCTION("""COMPUTED_VALUE"""),2206.27)</f>
        <v>2206.27</v>
      </c>
      <c r="C395" s="1">
        <f ca="1">IFERROR(__xludf.DUMMYFUNCTION("""COMPUTED_VALUE"""),2213.35)</f>
        <v>2213.35</v>
      </c>
      <c r="D395" s="1">
        <f ca="1">IFERROR(__xludf.DUMMYFUNCTION("""COMPUTED_VALUE"""),2206.27)</f>
        <v>2206.27</v>
      </c>
      <c r="E395" s="1">
        <f ca="1">IFERROR(__xludf.DUMMYFUNCTION("""COMPUTED_VALUE"""),2213.35)</f>
        <v>2213.35</v>
      </c>
      <c r="F395" s="1">
        <f ca="1">IFERROR(__xludf.DUMMYFUNCTION("""COMPUTED_VALUE"""),261974388)</f>
        <v>261974388</v>
      </c>
    </row>
    <row r="396" spans="1:6" ht="13" x14ac:dyDescent="0.15">
      <c r="A396" s="2">
        <f ca="1">IFERROR(__xludf.DUMMYFUNCTION("""COMPUTED_VALUE"""),42702.6666666666)</f>
        <v>42702.666666666599</v>
      </c>
      <c r="B396" s="1">
        <f ca="1">IFERROR(__xludf.DUMMYFUNCTION("""COMPUTED_VALUE"""),2210.21)</f>
        <v>2210.21</v>
      </c>
      <c r="C396" s="1">
        <f ca="1">IFERROR(__xludf.DUMMYFUNCTION("""COMPUTED_VALUE"""),2211.14)</f>
        <v>2211.14</v>
      </c>
      <c r="D396" s="1">
        <f ca="1">IFERROR(__xludf.DUMMYFUNCTION("""COMPUTED_VALUE"""),2200.36)</f>
        <v>2200.36</v>
      </c>
      <c r="E396" s="1">
        <f ca="1">IFERROR(__xludf.DUMMYFUNCTION("""COMPUTED_VALUE"""),2201.72)</f>
        <v>2201.7199999999998</v>
      </c>
      <c r="F396" s="1">
        <f ca="1">IFERROR(__xludf.DUMMYFUNCTION("""COMPUTED_VALUE"""),562045555)</f>
        <v>562045555</v>
      </c>
    </row>
    <row r="397" spans="1:6" ht="13" x14ac:dyDescent="0.15">
      <c r="A397" s="2">
        <f ca="1">IFERROR(__xludf.DUMMYFUNCTION("""COMPUTED_VALUE"""),42703.6666666666)</f>
        <v>42703.666666666599</v>
      </c>
      <c r="B397" s="1">
        <f ca="1">IFERROR(__xludf.DUMMYFUNCTION("""COMPUTED_VALUE"""),2200.76)</f>
        <v>2200.7600000000002</v>
      </c>
      <c r="C397" s="1">
        <f ca="1">IFERROR(__xludf.DUMMYFUNCTION("""COMPUTED_VALUE"""),2210.46)</f>
        <v>2210.46</v>
      </c>
      <c r="D397" s="1">
        <f ca="1">IFERROR(__xludf.DUMMYFUNCTION("""COMPUTED_VALUE"""),2198.15)</f>
        <v>2198.15</v>
      </c>
      <c r="E397" s="1">
        <f ca="1">IFERROR(__xludf.DUMMYFUNCTION("""COMPUTED_VALUE"""),2204.66)</f>
        <v>2204.66</v>
      </c>
      <c r="F397" s="1">
        <f ca="1">IFERROR(__xludf.DUMMYFUNCTION("""COMPUTED_VALUE"""),578283446)</f>
        <v>578283446</v>
      </c>
    </row>
    <row r="398" spans="1:6" ht="13" x14ac:dyDescent="0.15">
      <c r="A398" s="2">
        <f ca="1">IFERROR(__xludf.DUMMYFUNCTION("""COMPUTED_VALUE"""),42704.6666666666)</f>
        <v>42704.666666666599</v>
      </c>
      <c r="B398" s="1">
        <f ca="1">IFERROR(__xludf.DUMMYFUNCTION("""COMPUTED_VALUE"""),2204.97)</f>
        <v>2204.9699999999998</v>
      </c>
      <c r="C398" s="1">
        <f ca="1">IFERROR(__xludf.DUMMYFUNCTION("""COMPUTED_VALUE"""),2214.1)</f>
        <v>2214.1</v>
      </c>
      <c r="D398" s="1">
        <f ca="1">IFERROR(__xludf.DUMMYFUNCTION("""COMPUTED_VALUE"""),2198.81)</f>
        <v>2198.81</v>
      </c>
      <c r="E398" s="1">
        <f ca="1">IFERROR(__xludf.DUMMYFUNCTION("""COMPUTED_VALUE"""),2198.81)</f>
        <v>2198.81</v>
      </c>
      <c r="F398" s="1">
        <f ca="1">IFERROR(__xludf.DUMMYFUNCTION("""COMPUTED_VALUE"""),1055352593)</f>
        <v>1055352593</v>
      </c>
    </row>
    <row r="399" spans="1:6" ht="13" x14ac:dyDescent="0.15">
      <c r="A399" s="2">
        <f ca="1">IFERROR(__xludf.DUMMYFUNCTION("""COMPUTED_VALUE"""),42705.6666666666)</f>
        <v>42705.666666666599</v>
      </c>
      <c r="B399" s="1">
        <f ca="1">IFERROR(__xludf.DUMMYFUNCTION("""COMPUTED_VALUE"""),2200.17)</f>
        <v>2200.17</v>
      </c>
      <c r="C399" s="1">
        <f ca="1">IFERROR(__xludf.DUMMYFUNCTION("""COMPUTED_VALUE"""),2202.6)</f>
        <v>2202.6</v>
      </c>
      <c r="D399" s="1">
        <f ca="1">IFERROR(__xludf.DUMMYFUNCTION("""COMPUTED_VALUE"""),2187.44)</f>
        <v>2187.44</v>
      </c>
      <c r="E399" s="1">
        <f ca="1">IFERROR(__xludf.DUMMYFUNCTION("""COMPUTED_VALUE"""),2191.08)</f>
        <v>2191.08</v>
      </c>
      <c r="F399" s="1">
        <f ca="1">IFERROR(__xludf.DUMMYFUNCTION("""COMPUTED_VALUE"""),742047822)</f>
        <v>742047822</v>
      </c>
    </row>
    <row r="400" spans="1:6" ht="13" x14ac:dyDescent="0.15">
      <c r="A400" s="2">
        <f ca="1">IFERROR(__xludf.DUMMYFUNCTION("""COMPUTED_VALUE"""),42706.6666666666)</f>
        <v>42706.666666666599</v>
      </c>
      <c r="B400" s="1">
        <f ca="1">IFERROR(__xludf.DUMMYFUNCTION("""COMPUTED_VALUE"""),2191.12)</f>
        <v>2191.12</v>
      </c>
      <c r="C400" s="1">
        <f ca="1">IFERROR(__xludf.DUMMYFUNCTION("""COMPUTED_VALUE"""),2197.95)</f>
        <v>2197.9499999999998</v>
      </c>
      <c r="D400" s="1">
        <f ca="1">IFERROR(__xludf.DUMMYFUNCTION("""COMPUTED_VALUE"""),2188.37)</f>
        <v>2188.37</v>
      </c>
      <c r="E400" s="1">
        <f ca="1">IFERROR(__xludf.DUMMYFUNCTION("""COMPUTED_VALUE"""),2191.95)</f>
        <v>2191.9499999999998</v>
      </c>
      <c r="F400" s="1">
        <f ca="1">IFERROR(__xludf.DUMMYFUNCTION("""COMPUTED_VALUE"""),587431425)</f>
        <v>587431425</v>
      </c>
    </row>
    <row r="401" spans="1:6" ht="13" x14ac:dyDescent="0.15">
      <c r="A401" s="2">
        <f ca="1">IFERROR(__xludf.DUMMYFUNCTION("""COMPUTED_VALUE"""),42709.6666666666)</f>
        <v>42709.666666666599</v>
      </c>
      <c r="B401" s="1">
        <f ca="1">IFERROR(__xludf.DUMMYFUNCTION("""COMPUTED_VALUE"""),2200.65)</f>
        <v>2200.65</v>
      </c>
      <c r="C401" s="1">
        <f ca="1">IFERROR(__xludf.DUMMYFUNCTION("""COMPUTED_VALUE"""),2209.42)</f>
        <v>2209.42</v>
      </c>
      <c r="D401" s="1">
        <f ca="1">IFERROR(__xludf.DUMMYFUNCTION("""COMPUTED_VALUE"""),2199.97)</f>
        <v>2199.9699999999998</v>
      </c>
      <c r="E401" s="1">
        <f ca="1">IFERROR(__xludf.DUMMYFUNCTION("""COMPUTED_VALUE"""),2204.71)</f>
        <v>2204.71</v>
      </c>
      <c r="F401" s="1">
        <f ca="1">IFERROR(__xludf.DUMMYFUNCTION("""COMPUTED_VALUE"""),2353018266)</f>
        <v>2353018266</v>
      </c>
    </row>
    <row r="402" spans="1:6" ht="13" x14ac:dyDescent="0.15">
      <c r="A402" s="2">
        <f ca="1">IFERROR(__xludf.DUMMYFUNCTION("""COMPUTED_VALUE"""),42710.6666666666)</f>
        <v>42710.666666666599</v>
      </c>
      <c r="B402" s="1">
        <f ca="1">IFERROR(__xludf.DUMMYFUNCTION("""COMPUTED_VALUE"""),2207.26)</f>
        <v>2207.2600000000002</v>
      </c>
      <c r="C402" s="1">
        <f ca="1">IFERROR(__xludf.DUMMYFUNCTION("""COMPUTED_VALUE"""),2212.78)</f>
        <v>2212.7800000000002</v>
      </c>
      <c r="D402" s="1">
        <f ca="1">IFERROR(__xludf.DUMMYFUNCTION("""COMPUTED_VALUE"""),2202.21)</f>
        <v>2202.21</v>
      </c>
      <c r="E402" s="1">
        <f ca="1">IFERROR(__xludf.DUMMYFUNCTION("""COMPUTED_VALUE"""),2212.23)</f>
        <v>2212.23</v>
      </c>
      <c r="F402" s="1">
        <f ca="1">IFERROR(__xludf.DUMMYFUNCTION("""COMPUTED_VALUE"""),2170130802)</f>
        <v>2170130802</v>
      </c>
    </row>
    <row r="403" spans="1:6" ht="13" x14ac:dyDescent="0.15">
      <c r="A403" s="2">
        <f ca="1">IFERROR(__xludf.DUMMYFUNCTION("""COMPUTED_VALUE"""),42711.6666666666)</f>
        <v>42711.666666666599</v>
      </c>
      <c r="B403" s="1">
        <f ca="1">IFERROR(__xludf.DUMMYFUNCTION("""COMPUTED_VALUE"""),2210.72)</f>
        <v>2210.7199999999998</v>
      </c>
      <c r="C403" s="1">
        <f ca="1">IFERROR(__xludf.DUMMYFUNCTION("""COMPUTED_VALUE"""),2241.63)</f>
        <v>2241.63</v>
      </c>
      <c r="D403" s="1">
        <f ca="1">IFERROR(__xludf.DUMMYFUNCTION("""COMPUTED_VALUE"""),2208.93)</f>
        <v>2208.9299999999998</v>
      </c>
      <c r="E403" s="1">
        <f ca="1">IFERROR(__xludf.DUMMYFUNCTION("""COMPUTED_VALUE"""),2241.35)</f>
        <v>2241.35</v>
      </c>
      <c r="F403" s="1">
        <f ca="1">IFERROR(__xludf.DUMMYFUNCTION("""COMPUTED_VALUE"""),2734847977)</f>
        <v>2734847977</v>
      </c>
    </row>
    <row r="404" spans="1:6" ht="13" x14ac:dyDescent="0.15">
      <c r="A404" s="2">
        <f ca="1">IFERROR(__xludf.DUMMYFUNCTION("""COMPUTED_VALUE"""),42712.6666666666)</f>
        <v>42712.666666666599</v>
      </c>
      <c r="B404" s="1">
        <f ca="1">IFERROR(__xludf.DUMMYFUNCTION("""COMPUTED_VALUE"""),2241.13)</f>
        <v>2241.13</v>
      </c>
      <c r="C404" s="1">
        <f ca="1">IFERROR(__xludf.DUMMYFUNCTION("""COMPUTED_VALUE"""),2251.69)</f>
        <v>2251.69</v>
      </c>
      <c r="D404" s="1">
        <f ca="1">IFERROR(__xludf.DUMMYFUNCTION("""COMPUTED_VALUE"""),2237.57)</f>
        <v>2237.5700000000002</v>
      </c>
      <c r="E404" s="1">
        <f ca="1">IFERROR(__xludf.DUMMYFUNCTION("""COMPUTED_VALUE"""),2246.19)</f>
        <v>2246.19</v>
      </c>
      <c r="F404" s="1">
        <f ca="1">IFERROR(__xludf.DUMMYFUNCTION("""COMPUTED_VALUE"""),2436820226)</f>
        <v>2436820226</v>
      </c>
    </row>
    <row r="405" spans="1:6" ht="13" x14ac:dyDescent="0.15">
      <c r="A405" s="2">
        <f ca="1">IFERROR(__xludf.DUMMYFUNCTION("""COMPUTED_VALUE"""),42713.6666666666)</f>
        <v>42713.666666666599</v>
      </c>
      <c r="B405" s="1">
        <f ca="1">IFERROR(__xludf.DUMMYFUNCTION("""COMPUTED_VALUE"""),2249.73)</f>
        <v>2249.73</v>
      </c>
      <c r="C405" s="1">
        <f ca="1">IFERROR(__xludf.DUMMYFUNCTION("""COMPUTED_VALUE"""),2259.8)</f>
        <v>2259.8000000000002</v>
      </c>
      <c r="D405" s="1">
        <f ca="1">IFERROR(__xludf.DUMMYFUNCTION("""COMPUTED_VALUE"""),2249.23)</f>
        <v>2249.23</v>
      </c>
      <c r="E405" s="1">
        <f ca="1">IFERROR(__xludf.DUMMYFUNCTION("""COMPUTED_VALUE"""),2259.53)</f>
        <v>2259.5300000000002</v>
      </c>
      <c r="F405" s="1">
        <f ca="1">IFERROR(__xludf.DUMMYFUNCTION("""COMPUTED_VALUE"""),2200678359)</f>
        <v>2200678359</v>
      </c>
    </row>
    <row r="406" spans="1:6" ht="13" x14ac:dyDescent="0.15">
      <c r="A406" s="2">
        <f ca="1">IFERROR(__xludf.DUMMYFUNCTION("""COMPUTED_VALUE"""),42716.6666666666)</f>
        <v>42716.666666666599</v>
      </c>
      <c r="B406" s="1">
        <f ca="1">IFERROR(__xludf.DUMMYFUNCTION("""COMPUTED_VALUE"""),2258.83)</f>
        <v>2258.83</v>
      </c>
      <c r="C406" s="1">
        <f ca="1">IFERROR(__xludf.DUMMYFUNCTION("""COMPUTED_VALUE"""),2264.03)</f>
        <v>2264.0300000000002</v>
      </c>
      <c r="D406" s="1">
        <f ca="1">IFERROR(__xludf.DUMMYFUNCTION("""COMPUTED_VALUE"""),2252.37)</f>
        <v>2252.37</v>
      </c>
      <c r="E406" s="1">
        <f ca="1">IFERROR(__xludf.DUMMYFUNCTION("""COMPUTED_VALUE"""),2256.96)</f>
        <v>2256.96</v>
      </c>
      <c r="F406" s="1">
        <f ca="1">IFERROR(__xludf.DUMMYFUNCTION("""COMPUTED_VALUE"""),2358393197)</f>
        <v>2358393197</v>
      </c>
    </row>
    <row r="407" spans="1:6" ht="13" x14ac:dyDescent="0.15">
      <c r="A407" s="2">
        <f ca="1">IFERROR(__xludf.DUMMYFUNCTION("""COMPUTED_VALUE"""),42717.6666666666)</f>
        <v>42717.666666666599</v>
      </c>
      <c r="B407" s="1">
        <f ca="1">IFERROR(__xludf.DUMMYFUNCTION("""COMPUTED_VALUE"""),2263.32)</f>
        <v>2263.3200000000002</v>
      </c>
      <c r="C407" s="1">
        <f ca="1">IFERROR(__xludf.DUMMYFUNCTION("""COMPUTED_VALUE"""),2277.53)</f>
        <v>2277.5300000000002</v>
      </c>
      <c r="D407" s="1">
        <f ca="1">IFERROR(__xludf.DUMMYFUNCTION("""COMPUTED_VALUE"""),2263.32)</f>
        <v>2263.3200000000002</v>
      </c>
      <c r="E407" s="1">
        <f ca="1">IFERROR(__xludf.DUMMYFUNCTION("""COMPUTED_VALUE"""),2271.72)</f>
        <v>2271.7199999999998</v>
      </c>
      <c r="F407" s="1">
        <f ca="1">IFERROR(__xludf.DUMMYFUNCTION("""COMPUTED_VALUE"""),2311255270)</f>
        <v>2311255270</v>
      </c>
    </row>
    <row r="408" spans="1:6" ht="13" x14ac:dyDescent="0.15">
      <c r="A408" s="2">
        <f ca="1">IFERROR(__xludf.DUMMYFUNCTION("""COMPUTED_VALUE"""),42718.6666666666)</f>
        <v>42718.666666666599</v>
      </c>
      <c r="B408" s="1">
        <f ca="1">IFERROR(__xludf.DUMMYFUNCTION("""COMPUTED_VALUE"""),2268.35)</f>
        <v>2268.35</v>
      </c>
      <c r="C408" s="1">
        <f ca="1">IFERROR(__xludf.DUMMYFUNCTION("""COMPUTED_VALUE"""),2276.2)</f>
        <v>2276.1999999999998</v>
      </c>
      <c r="D408" s="1">
        <f ca="1">IFERROR(__xludf.DUMMYFUNCTION("""COMPUTED_VALUE"""),2248.44)</f>
        <v>2248.44</v>
      </c>
      <c r="E408" s="1">
        <f ca="1">IFERROR(__xludf.DUMMYFUNCTION("""COMPUTED_VALUE"""),2253.28)</f>
        <v>2253.2800000000002</v>
      </c>
      <c r="F408" s="1">
        <f ca="1">IFERROR(__xludf.DUMMYFUNCTION("""COMPUTED_VALUE"""),2660459785)</f>
        <v>2660459785</v>
      </c>
    </row>
    <row r="409" spans="1:6" ht="13" x14ac:dyDescent="0.15">
      <c r="A409" s="2">
        <f ca="1">IFERROR(__xludf.DUMMYFUNCTION("""COMPUTED_VALUE"""),42719.6666666666)</f>
        <v>42719.666666666599</v>
      </c>
      <c r="B409" s="1">
        <f ca="1">IFERROR(__xludf.DUMMYFUNCTION("""COMPUTED_VALUE"""),2253.77)</f>
        <v>2253.77</v>
      </c>
      <c r="C409" s="1">
        <f ca="1">IFERROR(__xludf.DUMMYFUNCTION("""COMPUTED_VALUE"""),2272.12)</f>
        <v>2272.12</v>
      </c>
      <c r="D409" s="1">
        <f ca="1">IFERROR(__xludf.DUMMYFUNCTION("""COMPUTED_VALUE"""),2253.77)</f>
        <v>2253.77</v>
      </c>
      <c r="E409" s="1">
        <f ca="1">IFERROR(__xludf.DUMMYFUNCTION("""COMPUTED_VALUE"""),2262.03)</f>
        <v>2262.0300000000002</v>
      </c>
      <c r="F409" s="1">
        <f ca="1">IFERROR(__xludf.DUMMYFUNCTION("""COMPUTED_VALUE"""),2428153807)</f>
        <v>2428153807</v>
      </c>
    </row>
    <row r="410" spans="1:6" ht="13" x14ac:dyDescent="0.15">
      <c r="A410" s="2">
        <f ca="1">IFERROR(__xludf.DUMMYFUNCTION("""COMPUTED_VALUE"""),42720.6666666666)</f>
        <v>42720.666666666599</v>
      </c>
      <c r="B410" s="1">
        <f ca="1">IFERROR(__xludf.DUMMYFUNCTION("""COMPUTED_VALUE"""),2266.81)</f>
        <v>2266.81</v>
      </c>
      <c r="C410" s="1">
        <f ca="1">IFERROR(__xludf.DUMMYFUNCTION("""COMPUTED_VALUE"""),2268.05)</f>
        <v>2268.0500000000002</v>
      </c>
      <c r="D410" s="1">
        <f ca="1">IFERROR(__xludf.DUMMYFUNCTION("""COMPUTED_VALUE"""),2254.24)</f>
        <v>2254.2399999999998</v>
      </c>
      <c r="E410" s="1">
        <f ca="1">IFERROR(__xludf.DUMMYFUNCTION("""COMPUTED_VALUE"""),2258.07)</f>
        <v>2258.0700000000002</v>
      </c>
      <c r="F410" s="1">
        <f ca="1">IFERROR(__xludf.DUMMYFUNCTION("""COMPUTED_VALUE"""),3710588961)</f>
        <v>3710588961</v>
      </c>
    </row>
    <row r="411" spans="1:6" ht="13" x14ac:dyDescent="0.15">
      <c r="A411" s="2">
        <f ca="1">IFERROR(__xludf.DUMMYFUNCTION("""COMPUTED_VALUE"""),42723.6666666666)</f>
        <v>42723.666666666599</v>
      </c>
      <c r="B411" s="1">
        <f ca="1">IFERROR(__xludf.DUMMYFUNCTION("""COMPUTED_VALUE"""),2259.24)</f>
        <v>2259.2399999999998</v>
      </c>
      <c r="C411" s="1">
        <f ca="1">IFERROR(__xludf.DUMMYFUNCTION("""COMPUTED_VALUE"""),2267.47)</f>
        <v>2267.4699999999998</v>
      </c>
      <c r="D411" s="1">
        <f ca="1">IFERROR(__xludf.DUMMYFUNCTION("""COMPUTED_VALUE"""),2258.21)</f>
        <v>2258.21</v>
      </c>
      <c r="E411" s="1">
        <f ca="1">IFERROR(__xludf.DUMMYFUNCTION("""COMPUTED_VALUE"""),2262.53)</f>
        <v>2262.5300000000002</v>
      </c>
      <c r="F411" s="1">
        <f ca="1">IFERROR(__xludf.DUMMYFUNCTION("""COMPUTED_VALUE"""),782039600)</f>
        <v>782039600</v>
      </c>
    </row>
    <row r="412" spans="1:6" ht="13" x14ac:dyDescent="0.15">
      <c r="A412" s="2">
        <f ca="1">IFERROR(__xludf.DUMMYFUNCTION("""COMPUTED_VALUE"""),42724.6666666666)</f>
        <v>42724.666666666599</v>
      </c>
      <c r="B412" s="1">
        <f ca="1">IFERROR(__xludf.DUMMYFUNCTION("""COMPUTED_VALUE"""),2266.5)</f>
        <v>2266.5</v>
      </c>
      <c r="C412" s="1">
        <f ca="1">IFERROR(__xludf.DUMMYFUNCTION("""COMPUTED_VALUE"""),2272.56)</f>
        <v>2272.56</v>
      </c>
      <c r="D412" s="1">
        <f ca="1">IFERROR(__xludf.DUMMYFUNCTION("""COMPUTED_VALUE"""),2266.14)</f>
        <v>2266.14</v>
      </c>
      <c r="E412" s="1">
        <f ca="1">IFERROR(__xludf.DUMMYFUNCTION("""COMPUTED_VALUE"""),2270.76)</f>
        <v>2270.7600000000002</v>
      </c>
      <c r="F412" s="1">
        <f ca="1">IFERROR(__xludf.DUMMYFUNCTION("""COMPUTED_VALUE"""),724056775)</f>
        <v>724056775</v>
      </c>
    </row>
    <row r="413" spans="1:6" ht="13" x14ac:dyDescent="0.15">
      <c r="A413" s="2">
        <f ca="1">IFERROR(__xludf.DUMMYFUNCTION("""COMPUTED_VALUE"""),42725.6666666666)</f>
        <v>42725.666666666599</v>
      </c>
      <c r="B413" s="1">
        <f ca="1">IFERROR(__xludf.DUMMYFUNCTION("""COMPUTED_VALUE"""),2270.54)</f>
        <v>2270.54</v>
      </c>
      <c r="C413" s="1">
        <f ca="1">IFERROR(__xludf.DUMMYFUNCTION("""COMPUTED_VALUE"""),2271.23)</f>
        <v>2271.23</v>
      </c>
      <c r="D413" s="1">
        <f ca="1">IFERROR(__xludf.DUMMYFUNCTION("""COMPUTED_VALUE"""),2265.15)</f>
        <v>2265.15</v>
      </c>
      <c r="E413" s="1">
        <f ca="1">IFERROR(__xludf.DUMMYFUNCTION("""COMPUTED_VALUE"""),2265.18)</f>
        <v>2265.1799999999998</v>
      </c>
      <c r="F413" s="1">
        <f ca="1">IFERROR(__xludf.DUMMYFUNCTION("""COMPUTED_VALUE"""),511345709)</f>
        <v>511345709</v>
      </c>
    </row>
    <row r="414" spans="1:6" ht="13" x14ac:dyDescent="0.15">
      <c r="A414" s="2">
        <f ca="1">IFERROR(__xludf.DUMMYFUNCTION("""COMPUTED_VALUE"""),42726.6666666666)</f>
        <v>42726.666666666599</v>
      </c>
      <c r="B414" s="1">
        <f ca="1">IFERROR(__xludf.DUMMYFUNCTION("""COMPUTED_VALUE"""),2262.93)</f>
        <v>2262.9299999999998</v>
      </c>
      <c r="C414" s="1">
        <f ca="1">IFERROR(__xludf.DUMMYFUNCTION("""COMPUTED_VALUE"""),2263.18)</f>
        <v>2263.1799999999998</v>
      </c>
      <c r="D414" s="1">
        <f ca="1">IFERROR(__xludf.DUMMYFUNCTION("""COMPUTED_VALUE"""),2256.08)</f>
        <v>2256.08</v>
      </c>
      <c r="E414" s="1">
        <f ca="1">IFERROR(__xludf.DUMMYFUNCTION("""COMPUTED_VALUE"""),2260.96)</f>
        <v>2260.96</v>
      </c>
      <c r="F414" s="1">
        <f ca="1">IFERROR(__xludf.DUMMYFUNCTION("""COMPUTED_VALUE"""),639919664)</f>
        <v>639919664</v>
      </c>
    </row>
    <row r="415" spans="1:6" ht="13" x14ac:dyDescent="0.15">
      <c r="A415" s="2">
        <f ca="1">IFERROR(__xludf.DUMMYFUNCTION("""COMPUTED_VALUE"""),42727.6666666666)</f>
        <v>42727.666666666599</v>
      </c>
      <c r="B415" s="1">
        <f ca="1">IFERROR(__xludf.DUMMYFUNCTION("""COMPUTED_VALUE"""),2260.25)</f>
        <v>2260.25</v>
      </c>
      <c r="C415" s="1">
        <f ca="1">IFERROR(__xludf.DUMMYFUNCTION("""COMPUTED_VALUE"""),2263.79)</f>
        <v>2263.79</v>
      </c>
      <c r="D415" s="1">
        <f ca="1">IFERROR(__xludf.DUMMYFUNCTION("""COMPUTED_VALUE"""),2258.84)</f>
        <v>2258.84</v>
      </c>
      <c r="E415" s="1">
        <f ca="1">IFERROR(__xludf.DUMMYFUNCTION("""COMPUTED_VALUE"""),2263.79)</f>
        <v>2263.79</v>
      </c>
      <c r="F415" s="1">
        <f ca="1">IFERROR(__xludf.DUMMYFUNCTION("""COMPUTED_VALUE"""),8325217)</f>
        <v>8325217</v>
      </c>
    </row>
    <row r="416" spans="1:6" ht="13" x14ac:dyDescent="0.15">
      <c r="A416" s="2">
        <f ca="1">IFERROR(__xludf.DUMMYFUNCTION("""COMPUTED_VALUE"""),42731.6666666666)</f>
        <v>42731.666666666599</v>
      </c>
      <c r="B416" s="1">
        <f ca="1">IFERROR(__xludf.DUMMYFUNCTION("""COMPUTED_VALUE"""),2266.23)</f>
        <v>2266.23</v>
      </c>
      <c r="C416" s="1">
        <f ca="1">IFERROR(__xludf.DUMMYFUNCTION("""COMPUTED_VALUE"""),2273.82)</f>
        <v>2273.8200000000002</v>
      </c>
      <c r="D416" s="1">
        <f ca="1">IFERROR(__xludf.DUMMYFUNCTION("""COMPUTED_VALUE"""),2266.15)</f>
        <v>2266.15</v>
      </c>
      <c r="E416" s="1">
        <f ca="1">IFERROR(__xludf.DUMMYFUNCTION("""COMPUTED_VALUE"""),2268.88)</f>
        <v>2268.88</v>
      </c>
      <c r="F416" s="1">
        <f ca="1">IFERROR(__xludf.DUMMYFUNCTION("""COMPUTED_VALUE"""),17232932)</f>
        <v>17232932</v>
      </c>
    </row>
    <row r="417" spans="1:6" ht="13" x14ac:dyDescent="0.15">
      <c r="A417" s="2">
        <f ca="1">IFERROR(__xludf.DUMMYFUNCTION("""COMPUTED_VALUE"""),42732.6666666666)</f>
        <v>42732.666666666599</v>
      </c>
      <c r="B417" s="1">
        <f ca="1">IFERROR(__xludf.DUMMYFUNCTION("""COMPUTED_VALUE"""),2270.23)</f>
        <v>2270.23</v>
      </c>
      <c r="C417" s="1">
        <f ca="1">IFERROR(__xludf.DUMMYFUNCTION("""COMPUTED_VALUE"""),2271.31)</f>
        <v>2271.31</v>
      </c>
      <c r="D417" s="1">
        <f ca="1">IFERROR(__xludf.DUMMYFUNCTION("""COMPUTED_VALUE"""),2249.11)</f>
        <v>2249.11</v>
      </c>
      <c r="E417" s="1">
        <f ca="1">IFERROR(__xludf.DUMMYFUNCTION("""COMPUTED_VALUE"""),2249.92)</f>
        <v>2249.92</v>
      </c>
      <c r="F417" s="1">
        <f ca="1">IFERROR(__xludf.DUMMYFUNCTION("""COMPUTED_VALUE"""),269786637)</f>
        <v>269786637</v>
      </c>
    </row>
    <row r="418" spans="1:6" ht="13" x14ac:dyDescent="0.15">
      <c r="A418" s="2">
        <f ca="1">IFERROR(__xludf.DUMMYFUNCTION("""COMPUTED_VALUE"""),42733.6666666666)</f>
        <v>42733.666666666599</v>
      </c>
      <c r="B418" s="1">
        <f ca="1">IFERROR(__xludf.DUMMYFUNCTION("""COMPUTED_VALUE"""),2249.5)</f>
        <v>2249.5</v>
      </c>
      <c r="C418" s="1">
        <f ca="1">IFERROR(__xludf.DUMMYFUNCTION("""COMPUTED_VALUE"""),2254.51)</f>
        <v>2254.5100000000002</v>
      </c>
      <c r="D418" s="1">
        <f ca="1">IFERROR(__xludf.DUMMYFUNCTION("""COMPUTED_VALUE"""),2244.56)</f>
        <v>2244.56</v>
      </c>
      <c r="E418" s="1">
        <f ca="1">IFERROR(__xludf.DUMMYFUNCTION("""COMPUTED_VALUE"""),2249.26)</f>
        <v>2249.2600000000002</v>
      </c>
      <c r="F418" s="1">
        <f ca="1">IFERROR(__xludf.DUMMYFUNCTION("""COMPUTED_VALUE"""),191088490)</f>
        <v>191088490</v>
      </c>
    </row>
    <row r="419" spans="1:6" ht="13" x14ac:dyDescent="0.15">
      <c r="A419" s="2">
        <f ca="1">IFERROR(__xludf.DUMMYFUNCTION("""COMPUTED_VALUE"""),42734.6666666666)</f>
        <v>42734.666666666599</v>
      </c>
      <c r="B419" s="1">
        <f ca="1">IFERROR(__xludf.DUMMYFUNCTION("""COMPUTED_VALUE"""),2251.61)</f>
        <v>2251.61</v>
      </c>
      <c r="C419" s="1">
        <f ca="1">IFERROR(__xludf.DUMMYFUNCTION("""COMPUTED_VALUE"""),2253.58)</f>
        <v>2253.58</v>
      </c>
      <c r="D419" s="1">
        <f ca="1">IFERROR(__xludf.DUMMYFUNCTION("""COMPUTED_VALUE"""),2233.62)</f>
        <v>2233.62</v>
      </c>
      <c r="E419" s="1">
        <f ca="1">IFERROR(__xludf.DUMMYFUNCTION("""COMPUTED_VALUE"""),2238.83)</f>
        <v>2238.83</v>
      </c>
      <c r="F419" s="1">
        <f ca="1">IFERROR(__xludf.DUMMYFUNCTION("""COMPUTED_VALUE"""),506853466)</f>
        <v>506853466</v>
      </c>
    </row>
    <row r="420" spans="1:6" ht="13" x14ac:dyDescent="0.15">
      <c r="A420" s="2">
        <f ca="1">IFERROR(__xludf.DUMMYFUNCTION("""COMPUTED_VALUE"""),42738.6666666666)</f>
        <v>42738.666666666599</v>
      </c>
      <c r="B420" s="1">
        <f ca="1">IFERROR(__xludf.DUMMYFUNCTION("""COMPUTED_VALUE"""),2251.57)</f>
        <v>2251.5700000000002</v>
      </c>
      <c r="C420" s="1">
        <f ca="1">IFERROR(__xludf.DUMMYFUNCTION("""COMPUTED_VALUE"""),2263.88)</f>
        <v>2263.88</v>
      </c>
      <c r="D420" s="1">
        <f ca="1">IFERROR(__xludf.DUMMYFUNCTION("""COMPUTED_VALUE"""),2245.13)</f>
        <v>2245.13</v>
      </c>
      <c r="E420" s="1">
        <f ca="1">IFERROR(__xludf.DUMMYFUNCTION("""COMPUTED_VALUE"""),2257.83)</f>
        <v>2257.83</v>
      </c>
      <c r="F420" s="1">
        <f ca="1">IFERROR(__xludf.DUMMYFUNCTION("""COMPUTED_VALUE"""),2318947704)</f>
        <v>2318947704</v>
      </c>
    </row>
    <row r="421" spans="1:6" ht="13" x14ac:dyDescent="0.15">
      <c r="A421" s="2">
        <f ca="1">IFERROR(__xludf.DUMMYFUNCTION("""COMPUTED_VALUE"""),42739.6666666666)</f>
        <v>42739.666666666599</v>
      </c>
      <c r="B421" s="1">
        <f ca="1">IFERROR(__xludf.DUMMYFUNCTION("""COMPUTED_VALUE"""),2261.6)</f>
        <v>2261.6</v>
      </c>
      <c r="C421" s="1">
        <f ca="1">IFERROR(__xludf.DUMMYFUNCTION("""COMPUTED_VALUE"""),2272.82)</f>
        <v>2272.8200000000002</v>
      </c>
      <c r="D421" s="1">
        <f ca="1">IFERROR(__xludf.DUMMYFUNCTION("""COMPUTED_VALUE"""),2261.6)</f>
        <v>2261.6</v>
      </c>
      <c r="E421" s="1">
        <f ca="1">IFERROR(__xludf.DUMMYFUNCTION("""COMPUTED_VALUE"""),2270.75)</f>
        <v>2270.75</v>
      </c>
      <c r="F421" s="1">
        <f ca="1">IFERROR(__xludf.DUMMYFUNCTION("""COMPUTED_VALUE"""),1023618459)</f>
        <v>1023618459</v>
      </c>
    </row>
    <row r="422" spans="1:6" ht="13" x14ac:dyDescent="0.15">
      <c r="A422" s="2">
        <f ca="1">IFERROR(__xludf.DUMMYFUNCTION("""COMPUTED_VALUE"""),42740.6666666666)</f>
        <v>42740.666666666599</v>
      </c>
      <c r="B422" s="1">
        <f ca="1">IFERROR(__xludf.DUMMYFUNCTION("""COMPUTED_VALUE"""),2268.18)</f>
        <v>2268.1799999999998</v>
      </c>
      <c r="C422" s="1">
        <f ca="1">IFERROR(__xludf.DUMMYFUNCTION("""COMPUTED_VALUE"""),2271.5)</f>
        <v>2271.5</v>
      </c>
      <c r="D422" s="1">
        <f ca="1">IFERROR(__xludf.DUMMYFUNCTION("""COMPUTED_VALUE"""),2260.45)</f>
        <v>2260.4499999999998</v>
      </c>
      <c r="E422" s="1">
        <f ca="1">IFERROR(__xludf.DUMMYFUNCTION("""COMPUTED_VALUE"""),2269)</f>
        <v>2269</v>
      </c>
      <c r="F422" s="1">
        <f ca="1">IFERROR(__xludf.DUMMYFUNCTION("""COMPUTED_VALUE"""),2187189991)</f>
        <v>2187189991</v>
      </c>
    </row>
    <row r="423" spans="1:6" ht="13" x14ac:dyDescent="0.15">
      <c r="A423" s="2">
        <f ca="1">IFERROR(__xludf.DUMMYFUNCTION("""COMPUTED_VALUE"""),42741.6666666666)</f>
        <v>42741.666666666599</v>
      </c>
      <c r="B423" s="1">
        <f ca="1">IFERROR(__xludf.DUMMYFUNCTION("""COMPUTED_VALUE"""),2271.14)</f>
        <v>2271.14</v>
      </c>
      <c r="C423" s="1">
        <f ca="1">IFERROR(__xludf.DUMMYFUNCTION("""COMPUTED_VALUE"""),2282.1)</f>
        <v>2282.1</v>
      </c>
      <c r="D423" s="1">
        <f ca="1">IFERROR(__xludf.DUMMYFUNCTION("""COMPUTED_VALUE"""),2264.06)</f>
        <v>2264.06</v>
      </c>
      <c r="E423" s="1">
        <f ca="1">IFERROR(__xludf.DUMMYFUNCTION("""COMPUTED_VALUE"""),2276.98)</f>
        <v>2276.98</v>
      </c>
      <c r="F423" s="1">
        <f ca="1">IFERROR(__xludf.DUMMYFUNCTION("""COMPUTED_VALUE"""),883439317)</f>
        <v>883439317</v>
      </c>
    </row>
    <row r="424" spans="1:6" ht="13" x14ac:dyDescent="0.15">
      <c r="A424" s="2">
        <f ca="1">IFERROR(__xludf.DUMMYFUNCTION("""COMPUTED_VALUE"""),42744.6666666666)</f>
        <v>42744.666666666599</v>
      </c>
      <c r="B424" s="1">
        <f ca="1">IFERROR(__xludf.DUMMYFUNCTION("""COMPUTED_VALUE"""),2273.59)</f>
        <v>2273.59</v>
      </c>
      <c r="C424" s="1">
        <f ca="1">IFERROR(__xludf.DUMMYFUNCTION("""COMPUTED_VALUE"""),2275.49)</f>
        <v>2275.4899999999998</v>
      </c>
      <c r="D424" s="1">
        <f ca="1">IFERROR(__xludf.DUMMYFUNCTION("""COMPUTED_VALUE"""),2268.9)</f>
        <v>2268.9</v>
      </c>
      <c r="E424" s="1">
        <f ca="1">IFERROR(__xludf.DUMMYFUNCTION("""COMPUTED_VALUE"""),2268.9)</f>
        <v>2268.9</v>
      </c>
      <c r="F424" s="1">
        <f ca="1">IFERROR(__xludf.DUMMYFUNCTION("""COMPUTED_VALUE"""),840910697)</f>
        <v>840910697</v>
      </c>
    </row>
    <row r="425" spans="1:6" ht="13" x14ac:dyDescent="0.15">
      <c r="A425" s="2">
        <f ca="1">IFERROR(__xludf.DUMMYFUNCTION("""COMPUTED_VALUE"""),42745.6666666666)</f>
        <v>42745.666666666599</v>
      </c>
      <c r="B425" s="1">
        <f ca="1">IFERROR(__xludf.DUMMYFUNCTION("""COMPUTED_VALUE"""),2269.72)</f>
        <v>2269.7199999999998</v>
      </c>
      <c r="C425" s="1">
        <f ca="1">IFERROR(__xludf.DUMMYFUNCTION("""COMPUTED_VALUE"""),2279.27)</f>
        <v>2279.27</v>
      </c>
      <c r="D425" s="1">
        <f ca="1">IFERROR(__xludf.DUMMYFUNCTION("""COMPUTED_VALUE"""),2265.27)</f>
        <v>2265.27</v>
      </c>
      <c r="E425" s="1">
        <f ca="1">IFERROR(__xludf.DUMMYFUNCTION("""COMPUTED_VALUE"""),2268.9)</f>
        <v>2268.9</v>
      </c>
      <c r="F425" s="1">
        <f ca="1">IFERROR(__xludf.DUMMYFUNCTION("""COMPUTED_VALUE"""),1064282732)</f>
        <v>1064282732</v>
      </c>
    </row>
    <row r="426" spans="1:6" ht="13" x14ac:dyDescent="0.15">
      <c r="A426" s="2">
        <f ca="1">IFERROR(__xludf.DUMMYFUNCTION("""COMPUTED_VALUE"""),42746.6666666666)</f>
        <v>42746.666666666599</v>
      </c>
      <c r="B426" s="1">
        <f ca="1">IFERROR(__xludf.DUMMYFUNCTION("""COMPUTED_VALUE"""),2268.6)</f>
        <v>2268.6</v>
      </c>
      <c r="C426" s="1">
        <f ca="1">IFERROR(__xludf.DUMMYFUNCTION("""COMPUTED_VALUE"""),2275.32)</f>
        <v>2275.3200000000002</v>
      </c>
      <c r="D426" s="1">
        <f ca="1">IFERROR(__xludf.DUMMYFUNCTION("""COMPUTED_VALUE"""),2260.83)</f>
        <v>2260.83</v>
      </c>
      <c r="E426" s="1">
        <f ca="1">IFERROR(__xludf.DUMMYFUNCTION("""COMPUTED_VALUE"""),2275.32)</f>
        <v>2275.3200000000002</v>
      </c>
      <c r="F426" s="1">
        <f ca="1">IFERROR(__xludf.DUMMYFUNCTION("""COMPUTED_VALUE"""),1044548052)</f>
        <v>1044548052</v>
      </c>
    </row>
    <row r="427" spans="1:6" ht="13" x14ac:dyDescent="0.15">
      <c r="A427" s="2">
        <f ca="1">IFERROR(__xludf.DUMMYFUNCTION("""COMPUTED_VALUE"""),42747.6666666666)</f>
        <v>42747.666666666599</v>
      </c>
      <c r="B427" s="1">
        <f ca="1">IFERROR(__xludf.DUMMYFUNCTION("""COMPUTED_VALUE"""),2271.14)</f>
        <v>2271.14</v>
      </c>
      <c r="C427" s="1">
        <f ca="1">IFERROR(__xludf.DUMMYFUNCTION("""COMPUTED_VALUE"""),2271.78)</f>
        <v>2271.7800000000002</v>
      </c>
      <c r="D427" s="1">
        <f ca="1">IFERROR(__xludf.DUMMYFUNCTION("""COMPUTED_VALUE"""),2254.25)</f>
        <v>2254.25</v>
      </c>
      <c r="E427" s="1">
        <f ca="1">IFERROR(__xludf.DUMMYFUNCTION("""COMPUTED_VALUE"""),2270.44)</f>
        <v>2270.44</v>
      </c>
      <c r="F427" s="1">
        <f ca="1">IFERROR(__xludf.DUMMYFUNCTION("""COMPUTED_VALUE"""),863643316)</f>
        <v>863643316</v>
      </c>
    </row>
    <row r="428" spans="1:6" ht="13" x14ac:dyDescent="0.15">
      <c r="A428" s="2">
        <f ca="1">IFERROR(__xludf.DUMMYFUNCTION("""COMPUTED_VALUE"""),42748.6666666666)</f>
        <v>42748.666666666599</v>
      </c>
      <c r="B428" s="1">
        <f ca="1">IFERROR(__xludf.DUMMYFUNCTION("""COMPUTED_VALUE"""),2272.74)</f>
        <v>2272.7399999999998</v>
      </c>
      <c r="C428" s="1">
        <f ca="1">IFERROR(__xludf.DUMMYFUNCTION("""COMPUTED_VALUE"""),2278.68)</f>
        <v>2278.6799999999998</v>
      </c>
      <c r="D428" s="1">
        <f ca="1">IFERROR(__xludf.DUMMYFUNCTION("""COMPUTED_VALUE"""),2271.51)</f>
        <v>2271.5100000000002</v>
      </c>
      <c r="E428" s="1">
        <f ca="1">IFERROR(__xludf.DUMMYFUNCTION("""COMPUTED_VALUE"""),2274.64)</f>
        <v>2274.64</v>
      </c>
      <c r="F428" s="1">
        <f ca="1">IFERROR(__xludf.DUMMYFUNCTION("""COMPUTED_VALUE"""),707256094)</f>
        <v>707256094</v>
      </c>
    </row>
    <row r="429" spans="1:6" ht="13" x14ac:dyDescent="0.15">
      <c r="A429" s="2">
        <f ca="1">IFERROR(__xludf.DUMMYFUNCTION("""COMPUTED_VALUE"""),42752.6666666666)</f>
        <v>42752.666666666599</v>
      </c>
      <c r="B429" s="1">
        <f ca="1">IFERROR(__xludf.DUMMYFUNCTION("""COMPUTED_VALUE"""),2269.14)</f>
        <v>2269.14</v>
      </c>
      <c r="C429" s="1">
        <f ca="1">IFERROR(__xludf.DUMMYFUNCTION("""COMPUTED_VALUE"""),2272.08)</f>
        <v>2272.08</v>
      </c>
      <c r="D429" s="1">
        <f ca="1">IFERROR(__xludf.DUMMYFUNCTION("""COMPUTED_VALUE"""),2262.81)</f>
        <v>2262.81</v>
      </c>
      <c r="E429" s="1">
        <f ca="1">IFERROR(__xludf.DUMMYFUNCTION("""COMPUTED_VALUE"""),2267.89)</f>
        <v>2267.89</v>
      </c>
      <c r="F429" s="1">
        <f ca="1">IFERROR(__xludf.DUMMYFUNCTION("""COMPUTED_VALUE"""),2147375749)</f>
        <v>2147375749</v>
      </c>
    </row>
    <row r="430" spans="1:6" ht="13" x14ac:dyDescent="0.15">
      <c r="A430" s="2">
        <f ca="1">IFERROR(__xludf.DUMMYFUNCTION("""COMPUTED_VALUE"""),42753.6666666666)</f>
        <v>42753.666666666599</v>
      </c>
      <c r="B430" s="1">
        <f ca="1">IFERROR(__xludf.DUMMYFUNCTION("""COMPUTED_VALUE"""),2269.14)</f>
        <v>2269.14</v>
      </c>
      <c r="C430" s="1">
        <f ca="1">IFERROR(__xludf.DUMMYFUNCTION("""COMPUTED_VALUE"""),2272.01)</f>
        <v>2272.0100000000002</v>
      </c>
      <c r="D430" s="1">
        <f ca="1">IFERROR(__xludf.DUMMYFUNCTION("""COMPUTED_VALUE"""),2263.35)</f>
        <v>2263.35</v>
      </c>
      <c r="E430" s="1">
        <f ca="1">IFERROR(__xludf.DUMMYFUNCTION("""COMPUTED_VALUE"""),2271.89)</f>
        <v>2271.89</v>
      </c>
      <c r="F430" s="1">
        <f ca="1">IFERROR(__xludf.DUMMYFUNCTION("""COMPUTED_VALUE"""),924902096)</f>
        <v>924902096</v>
      </c>
    </row>
    <row r="431" spans="1:6" ht="13" x14ac:dyDescent="0.15">
      <c r="A431" s="2">
        <f ca="1">IFERROR(__xludf.DUMMYFUNCTION("""COMPUTED_VALUE"""),42754.6666666666)</f>
        <v>42754.666666666599</v>
      </c>
      <c r="B431" s="1">
        <f ca="1">IFERROR(__xludf.DUMMYFUNCTION("""COMPUTED_VALUE"""),2271.9)</f>
        <v>2271.9</v>
      </c>
      <c r="C431" s="1">
        <f ca="1">IFERROR(__xludf.DUMMYFUNCTION("""COMPUTED_VALUE"""),2274.33)</f>
        <v>2274.33</v>
      </c>
      <c r="D431" s="1">
        <f ca="1">IFERROR(__xludf.DUMMYFUNCTION("""COMPUTED_VALUE"""),2258.41)</f>
        <v>2258.41</v>
      </c>
      <c r="E431" s="1">
        <f ca="1">IFERROR(__xludf.DUMMYFUNCTION("""COMPUTED_VALUE"""),2263.69)</f>
        <v>2263.69</v>
      </c>
      <c r="F431" s="1">
        <f ca="1">IFERROR(__xludf.DUMMYFUNCTION("""COMPUTED_VALUE"""),967540951)</f>
        <v>967540951</v>
      </c>
    </row>
    <row r="432" spans="1:6" ht="13" x14ac:dyDescent="0.15">
      <c r="A432" s="2">
        <f ca="1">IFERROR(__xludf.DUMMYFUNCTION("""COMPUTED_VALUE"""),42755.6666666666)</f>
        <v>42755.666666666599</v>
      </c>
      <c r="B432" s="1">
        <f ca="1">IFERROR(__xludf.DUMMYFUNCTION("""COMPUTED_VALUE"""),2269.96)</f>
        <v>2269.96</v>
      </c>
      <c r="C432" s="1">
        <f ca="1">IFERROR(__xludf.DUMMYFUNCTION("""COMPUTED_VALUE"""),2276.96)</f>
        <v>2276.96</v>
      </c>
      <c r="D432" s="1">
        <f ca="1">IFERROR(__xludf.DUMMYFUNCTION("""COMPUTED_VALUE"""),2265.01)</f>
        <v>2265.0100000000002</v>
      </c>
      <c r="E432" s="1">
        <f ca="1">IFERROR(__xludf.DUMMYFUNCTION("""COMPUTED_VALUE"""),2271.31)</f>
        <v>2271.31</v>
      </c>
      <c r="F432" s="1">
        <f ca="1">IFERROR(__xludf.DUMMYFUNCTION("""COMPUTED_VALUE"""),2311814000)</f>
        <v>2311814000</v>
      </c>
    </row>
    <row r="433" spans="1:6" ht="13" x14ac:dyDescent="0.15">
      <c r="A433" s="2">
        <f ca="1">IFERROR(__xludf.DUMMYFUNCTION("""COMPUTED_VALUE"""),42758.6666666666)</f>
        <v>42758.666666666599</v>
      </c>
      <c r="B433" s="1">
        <f ca="1">IFERROR(__xludf.DUMMYFUNCTION("""COMPUTED_VALUE"""),2267.78)</f>
        <v>2267.7800000000002</v>
      </c>
      <c r="C433" s="1">
        <f ca="1">IFERROR(__xludf.DUMMYFUNCTION("""COMPUTED_VALUE"""),2271.78)</f>
        <v>2271.7800000000002</v>
      </c>
      <c r="D433" s="1">
        <f ca="1">IFERROR(__xludf.DUMMYFUNCTION("""COMPUTED_VALUE"""),2257.02)</f>
        <v>2257.02</v>
      </c>
      <c r="E433" s="1">
        <f ca="1">IFERROR(__xludf.DUMMYFUNCTION("""COMPUTED_VALUE"""),2265.2)</f>
        <v>2265.1999999999998</v>
      </c>
      <c r="F433" s="1">
        <f ca="1">IFERROR(__xludf.DUMMYFUNCTION("""COMPUTED_VALUE"""),916810570)</f>
        <v>916810570</v>
      </c>
    </row>
    <row r="434" spans="1:6" ht="13" x14ac:dyDescent="0.15">
      <c r="A434" s="2">
        <f ca="1">IFERROR(__xludf.DUMMYFUNCTION("""COMPUTED_VALUE"""),42759.6666666666)</f>
        <v>42759.666666666599</v>
      </c>
      <c r="B434" s="1">
        <f ca="1">IFERROR(__xludf.DUMMYFUNCTION("""COMPUTED_VALUE"""),2267.88)</f>
        <v>2267.88</v>
      </c>
      <c r="C434" s="1">
        <f ca="1">IFERROR(__xludf.DUMMYFUNCTION("""COMPUTED_VALUE"""),2284.63)</f>
        <v>2284.63</v>
      </c>
      <c r="D434" s="1">
        <f ca="1">IFERROR(__xludf.DUMMYFUNCTION("""COMPUTED_VALUE"""),2266.68)</f>
        <v>2266.6799999999998</v>
      </c>
      <c r="E434" s="1">
        <f ca="1">IFERROR(__xludf.DUMMYFUNCTION("""COMPUTED_VALUE"""),2280.07)</f>
        <v>2280.0700000000002</v>
      </c>
      <c r="F434" s="1">
        <f ca="1">IFERROR(__xludf.DUMMYFUNCTION("""COMPUTED_VALUE"""),2147415305)</f>
        <v>2147415305</v>
      </c>
    </row>
    <row r="435" spans="1:6" ht="13" x14ac:dyDescent="0.15">
      <c r="A435" s="2">
        <f ca="1">IFERROR(__xludf.DUMMYFUNCTION("""COMPUTED_VALUE"""),42760.6666666666)</f>
        <v>42760.666666666599</v>
      </c>
      <c r="B435" s="1">
        <f ca="1">IFERROR(__xludf.DUMMYFUNCTION("""COMPUTED_VALUE"""),2288.88)</f>
        <v>2288.88</v>
      </c>
      <c r="C435" s="1">
        <f ca="1">IFERROR(__xludf.DUMMYFUNCTION("""COMPUTED_VALUE"""),2299.55)</f>
        <v>2299.5500000000002</v>
      </c>
      <c r="D435" s="1">
        <f ca="1">IFERROR(__xludf.DUMMYFUNCTION("""COMPUTED_VALUE"""),2288.88)</f>
        <v>2288.88</v>
      </c>
      <c r="E435" s="1">
        <f ca="1">IFERROR(__xludf.DUMMYFUNCTION("""COMPUTED_VALUE"""),2298.37)</f>
        <v>2298.37</v>
      </c>
      <c r="F435" s="1">
        <f ca="1">IFERROR(__xludf.DUMMYFUNCTION("""COMPUTED_VALUE"""),2461512000)</f>
        <v>2461512000</v>
      </c>
    </row>
    <row r="436" spans="1:6" ht="13" x14ac:dyDescent="0.15">
      <c r="A436" s="2">
        <f ca="1">IFERROR(__xludf.DUMMYFUNCTION("""COMPUTED_VALUE"""),42761.6666666666)</f>
        <v>42761.666666666599</v>
      </c>
      <c r="B436" s="1">
        <f ca="1">IFERROR(__xludf.DUMMYFUNCTION("""COMPUTED_VALUE"""),2298.63)</f>
        <v>2298.63</v>
      </c>
      <c r="C436" s="1">
        <f ca="1">IFERROR(__xludf.DUMMYFUNCTION("""COMPUTED_VALUE"""),2300.99)</f>
        <v>2300.9899999999998</v>
      </c>
      <c r="D436" s="1">
        <f ca="1">IFERROR(__xludf.DUMMYFUNCTION("""COMPUTED_VALUE"""),2294.08)</f>
        <v>2294.08</v>
      </c>
      <c r="E436" s="1">
        <f ca="1">IFERROR(__xludf.DUMMYFUNCTION("""COMPUTED_VALUE"""),2296.68)</f>
        <v>2296.6799999999998</v>
      </c>
      <c r="F436" s="1">
        <f ca="1">IFERROR(__xludf.DUMMYFUNCTION("""COMPUTED_VALUE"""),2333681818)</f>
        <v>2333681818</v>
      </c>
    </row>
    <row r="437" spans="1:6" ht="13" x14ac:dyDescent="0.15">
      <c r="A437" s="2">
        <f ca="1">IFERROR(__xludf.DUMMYFUNCTION("""COMPUTED_VALUE"""),42762.6666666666)</f>
        <v>42762.666666666599</v>
      </c>
      <c r="B437" s="1">
        <f ca="1">IFERROR(__xludf.DUMMYFUNCTION("""COMPUTED_VALUE"""),2299.02)</f>
        <v>2299.02</v>
      </c>
      <c r="C437" s="1">
        <f ca="1">IFERROR(__xludf.DUMMYFUNCTION("""COMPUTED_VALUE"""),2299.02)</f>
        <v>2299.02</v>
      </c>
      <c r="D437" s="1">
        <f ca="1">IFERROR(__xludf.DUMMYFUNCTION("""COMPUTED_VALUE"""),2291.62)</f>
        <v>2291.62</v>
      </c>
      <c r="E437" s="1">
        <f ca="1">IFERROR(__xludf.DUMMYFUNCTION("""COMPUTED_VALUE"""),2294.69)</f>
        <v>2294.69</v>
      </c>
      <c r="F437" s="1">
        <f ca="1">IFERROR(__xludf.DUMMYFUNCTION("""COMPUTED_VALUE"""),925519279)</f>
        <v>925519279</v>
      </c>
    </row>
    <row r="438" spans="1:6" ht="13" x14ac:dyDescent="0.15">
      <c r="A438" s="2">
        <f ca="1">IFERROR(__xludf.DUMMYFUNCTION("""COMPUTED_VALUE"""),42765.6666666666)</f>
        <v>42765.666666666599</v>
      </c>
      <c r="B438" s="1">
        <f ca="1">IFERROR(__xludf.DUMMYFUNCTION("""COMPUTED_VALUE"""),2286.01)</f>
        <v>2286.0100000000002</v>
      </c>
      <c r="C438" s="1">
        <f ca="1">IFERROR(__xludf.DUMMYFUNCTION("""COMPUTED_VALUE"""),2286.01)</f>
        <v>2286.0100000000002</v>
      </c>
      <c r="D438" s="1">
        <f ca="1">IFERROR(__xludf.DUMMYFUNCTION("""COMPUTED_VALUE"""),2268.04)</f>
        <v>2268.04</v>
      </c>
      <c r="E438" s="1">
        <f ca="1">IFERROR(__xludf.DUMMYFUNCTION("""COMPUTED_VALUE"""),2280.9)</f>
        <v>2280.9</v>
      </c>
      <c r="F438" s="1">
        <f ca="1">IFERROR(__xludf.DUMMYFUNCTION("""COMPUTED_VALUE"""),1034342001)</f>
        <v>1034342001</v>
      </c>
    </row>
    <row r="439" spans="1:6" ht="13" x14ac:dyDescent="0.15">
      <c r="A439" s="2">
        <f ca="1">IFERROR(__xludf.DUMMYFUNCTION("""COMPUTED_VALUE"""),42766.6666666666)</f>
        <v>42766.666666666599</v>
      </c>
      <c r="B439" s="1">
        <f ca="1">IFERROR(__xludf.DUMMYFUNCTION("""COMPUTED_VALUE"""),2274.02)</f>
        <v>2274.02</v>
      </c>
      <c r="C439" s="1">
        <f ca="1">IFERROR(__xludf.DUMMYFUNCTION("""COMPUTED_VALUE"""),2279.09)</f>
        <v>2279.09</v>
      </c>
      <c r="D439" s="1">
        <f ca="1">IFERROR(__xludf.DUMMYFUNCTION("""COMPUTED_VALUE"""),2267.21)</f>
        <v>2267.21</v>
      </c>
      <c r="E439" s="1">
        <f ca="1">IFERROR(__xludf.DUMMYFUNCTION("""COMPUTED_VALUE"""),2278.87)</f>
        <v>2278.87</v>
      </c>
      <c r="F439" s="1">
        <f ca="1">IFERROR(__xludf.DUMMYFUNCTION("""COMPUTED_VALUE"""),2555320206)</f>
        <v>2555320206</v>
      </c>
    </row>
    <row r="440" spans="1:6" ht="13" x14ac:dyDescent="0.15">
      <c r="A440" s="2">
        <f ca="1">IFERROR(__xludf.DUMMYFUNCTION("""COMPUTED_VALUE"""),42767.6666666666)</f>
        <v>42767.666666666599</v>
      </c>
      <c r="B440" s="1">
        <f ca="1">IFERROR(__xludf.DUMMYFUNCTION("""COMPUTED_VALUE"""),2285.59)</f>
        <v>2285.59</v>
      </c>
      <c r="C440" s="1">
        <f ca="1">IFERROR(__xludf.DUMMYFUNCTION("""COMPUTED_VALUE"""),2289.14)</f>
        <v>2289.14</v>
      </c>
      <c r="D440" s="1">
        <f ca="1">IFERROR(__xludf.DUMMYFUNCTION("""COMPUTED_VALUE"""),2272.44)</f>
        <v>2272.44</v>
      </c>
      <c r="E440" s="1">
        <f ca="1">IFERROR(__xludf.DUMMYFUNCTION("""COMPUTED_VALUE"""),2279.55)</f>
        <v>2279.5500000000002</v>
      </c>
      <c r="F440" s="1">
        <f ca="1">IFERROR(__xludf.DUMMYFUNCTION("""COMPUTED_VALUE"""),2478979663)</f>
        <v>2478979663</v>
      </c>
    </row>
    <row r="441" spans="1:6" ht="13" x14ac:dyDescent="0.15">
      <c r="A441" s="2">
        <f ca="1">IFERROR(__xludf.DUMMYFUNCTION("""COMPUTED_VALUE"""),42768.6666666666)</f>
        <v>42768.666666666599</v>
      </c>
      <c r="B441" s="1">
        <f ca="1">IFERROR(__xludf.DUMMYFUNCTION("""COMPUTED_VALUE"""),2276.69)</f>
        <v>2276.69</v>
      </c>
      <c r="C441" s="1">
        <f ca="1">IFERROR(__xludf.DUMMYFUNCTION("""COMPUTED_VALUE"""),2283.97)</f>
        <v>2283.9699999999998</v>
      </c>
      <c r="D441" s="1">
        <f ca="1">IFERROR(__xludf.DUMMYFUNCTION("""COMPUTED_VALUE"""),2271.65)</f>
        <v>2271.65</v>
      </c>
      <c r="E441" s="1">
        <f ca="1">IFERROR(__xludf.DUMMYFUNCTION("""COMPUTED_VALUE"""),2280.85)</f>
        <v>2280.85</v>
      </c>
      <c r="F441" s="1">
        <f ca="1">IFERROR(__xludf.DUMMYFUNCTION("""COMPUTED_VALUE"""),2321960100)</f>
        <v>2321960100</v>
      </c>
    </row>
    <row r="442" spans="1:6" ht="13" x14ac:dyDescent="0.15">
      <c r="A442" s="2">
        <f ca="1">IFERROR(__xludf.DUMMYFUNCTION("""COMPUTED_VALUE"""),42769.6666666666)</f>
        <v>42769.666666666599</v>
      </c>
      <c r="B442" s="1">
        <f ca="1">IFERROR(__xludf.DUMMYFUNCTION("""COMPUTED_VALUE"""),2288.54)</f>
        <v>2288.54</v>
      </c>
      <c r="C442" s="1">
        <f ca="1">IFERROR(__xludf.DUMMYFUNCTION("""COMPUTED_VALUE"""),2298.31)</f>
        <v>2298.31</v>
      </c>
      <c r="D442" s="1">
        <f ca="1">IFERROR(__xludf.DUMMYFUNCTION("""COMPUTED_VALUE"""),2287.88)</f>
        <v>2287.88</v>
      </c>
      <c r="E442" s="1">
        <f ca="1">IFERROR(__xludf.DUMMYFUNCTION("""COMPUTED_VALUE"""),2297.42)</f>
        <v>2297.42</v>
      </c>
      <c r="F442" s="1">
        <f ca="1">IFERROR(__xludf.DUMMYFUNCTION("""COMPUTED_VALUE"""),2208634271)</f>
        <v>2208634271</v>
      </c>
    </row>
    <row r="443" spans="1:6" ht="13" x14ac:dyDescent="0.15">
      <c r="A443" s="2">
        <f ca="1">IFERROR(__xludf.DUMMYFUNCTION("""COMPUTED_VALUE"""),42772.6666666666)</f>
        <v>42772.666666666599</v>
      </c>
      <c r="B443" s="1">
        <f ca="1">IFERROR(__xludf.DUMMYFUNCTION("""COMPUTED_VALUE"""),2294.28)</f>
        <v>2294.2800000000002</v>
      </c>
      <c r="C443" s="1">
        <f ca="1">IFERROR(__xludf.DUMMYFUNCTION("""COMPUTED_VALUE"""),2296.18)</f>
        <v>2296.1799999999998</v>
      </c>
      <c r="D443" s="1">
        <f ca="1">IFERROR(__xludf.DUMMYFUNCTION("""COMPUTED_VALUE"""),2288.57)</f>
        <v>2288.5700000000002</v>
      </c>
      <c r="E443" s="1">
        <f ca="1">IFERROR(__xludf.DUMMYFUNCTION("""COMPUTED_VALUE"""),2292.56)</f>
        <v>2292.56</v>
      </c>
      <c r="F443" s="1">
        <f ca="1">IFERROR(__xludf.DUMMYFUNCTION("""COMPUTED_VALUE"""),828798658)</f>
        <v>828798658</v>
      </c>
    </row>
    <row r="444" spans="1:6" ht="13" x14ac:dyDescent="0.15">
      <c r="A444" s="2">
        <f ca="1">IFERROR(__xludf.DUMMYFUNCTION("""COMPUTED_VALUE"""),42773.6666666666)</f>
        <v>42773.666666666599</v>
      </c>
      <c r="B444" s="1">
        <f ca="1">IFERROR(__xludf.DUMMYFUNCTION("""COMPUTED_VALUE"""),2295.87)</f>
        <v>2295.87</v>
      </c>
      <c r="C444" s="1">
        <f ca="1">IFERROR(__xludf.DUMMYFUNCTION("""COMPUTED_VALUE"""),2299.4)</f>
        <v>2299.4</v>
      </c>
      <c r="D444" s="1">
        <f ca="1">IFERROR(__xludf.DUMMYFUNCTION("""COMPUTED_VALUE"""),2290.16)</f>
        <v>2290.16</v>
      </c>
      <c r="E444" s="1">
        <f ca="1">IFERROR(__xludf.DUMMYFUNCTION("""COMPUTED_VALUE"""),2293.08)</f>
        <v>2293.08</v>
      </c>
      <c r="F444" s="1">
        <f ca="1">IFERROR(__xludf.DUMMYFUNCTION("""COMPUTED_VALUE"""),1005424404)</f>
        <v>1005424404</v>
      </c>
    </row>
    <row r="445" spans="1:6" ht="13" x14ac:dyDescent="0.15">
      <c r="A445" s="2">
        <f ca="1">IFERROR(__xludf.DUMMYFUNCTION("""COMPUTED_VALUE"""),42774.6666666666)</f>
        <v>42774.666666666599</v>
      </c>
      <c r="B445" s="1">
        <f ca="1">IFERROR(__xludf.DUMMYFUNCTION("""COMPUTED_VALUE"""),2289.55)</f>
        <v>2289.5500000000002</v>
      </c>
      <c r="C445" s="1">
        <f ca="1">IFERROR(__xludf.DUMMYFUNCTION("""COMPUTED_VALUE"""),2295.91)</f>
        <v>2295.91</v>
      </c>
      <c r="D445" s="1">
        <f ca="1">IFERROR(__xludf.DUMMYFUNCTION("""COMPUTED_VALUE"""),2285.38)</f>
        <v>2285.38</v>
      </c>
      <c r="E445" s="1">
        <f ca="1">IFERROR(__xludf.DUMMYFUNCTION("""COMPUTED_VALUE"""),2294.67)</f>
        <v>2294.67</v>
      </c>
      <c r="F445" s="1">
        <f ca="1">IFERROR(__xludf.DUMMYFUNCTION("""COMPUTED_VALUE"""),1039738102)</f>
        <v>1039738102</v>
      </c>
    </row>
    <row r="446" spans="1:6" ht="13" x14ac:dyDescent="0.15">
      <c r="A446" s="2">
        <f ca="1">IFERROR(__xludf.DUMMYFUNCTION("""COMPUTED_VALUE"""),42775.6666666666)</f>
        <v>42775.666666666599</v>
      </c>
      <c r="B446" s="1">
        <f ca="1">IFERROR(__xludf.DUMMYFUNCTION("""COMPUTED_VALUE"""),2296.7)</f>
        <v>2296.6999999999998</v>
      </c>
      <c r="C446" s="1">
        <f ca="1">IFERROR(__xludf.DUMMYFUNCTION("""COMPUTED_VALUE"""),2311.08)</f>
        <v>2311.08</v>
      </c>
      <c r="D446" s="1">
        <f ca="1">IFERROR(__xludf.DUMMYFUNCTION("""COMPUTED_VALUE"""),2296.61)</f>
        <v>2296.61</v>
      </c>
      <c r="E446" s="1">
        <f ca="1">IFERROR(__xludf.DUMMYFUNCTION("""COMPUTED_VALUE"""),2307.87)</f>
        <v>2307.87</v>
      </c>
      <c r="F446" s="1">
        <f ca="1">IFERROR(__xludf.DUMMYFUNCTION("""COMPUTED_VALUE"""),1044822284)</f>
        <v>1044822284</v>
      </c>
    </row>
    <row r="447" spans="1:6" ht="13" x14ac:dyDescent="0.15">
      <c r="A447" s="2">
        <f ca="1">IFERROR(__xludf.DUMMYFUNCTION("""COMPUTED_VALUE"""),42776.6666666666)</f>
        <v>42776.666666666599</v>
      </c>
      <c r="B447" s="1">
        <f ca="1">IFERROR(__xludf.DUMMYFUNCTION("""COMPUTED_VALUE"""),2312.27)</f>
        <v>2312.27</v>
      </c>
      <c r="C447" s="1">
        <f ca="1">IFERROR(__xludf.DUMMYFUNCTION("""COMPUTED_VALUE"""),2319.23)</f>
        <v>2319.23</v>
      </c>
      <c r="D447" s="1">
        <f ca="1">IFERROR(__xludf.DUMMYFUNCTION("""COMPUTED_VALUE"""),2311.1)</f>
        <v>2311.1</v>
      </c>
      <c r="E447" s="1">
        <f ca="1">IFERROR(__xludf.DUMMYFUNCTION("""COMPUTED_VALUE"""),2316.1)</f>
        <v>2316.1</v>
      </c>
      <c r="F447" s="1">
        <f ca="1">IFERROR(__xludf.DUMMYFUNCTION("""COMPUTED_VALUE"""),993382797)</f>
        <v>993382797</v>
      </c>
    </row>
    <row r="448" spans="1:6" ht="13" x14ac:dyDescent="0.15">
      <c r="A448" s="2">
        <f ca="1">IFERROR(__xludf.DUMMYFUNCTION("""COMPUTED_VALUE"""),42779.6666666666)</f>
        <v>42779.666666666599</v>
      </c>
      <c r="B448" s="1">
        <f ca="1">IFERROR(__xludf.DUMMYFUNCTION("""COMPUTED_VALUE"""),2321.72)</f>
        <v>2321.7199999999998</v>
      </c>
      <c r="C448" s="1">
        <f ca="1">IFERROR(__xludf.DUMMYFUNCTION("""COMPUTED_VALUE"""),2331.58)</f>
        <v>2331.58</v>
      </c>
      <c r="D448" s="1">
        <f ca="1">IFERROR(__xludf.DUMMYFUNCTION("""COMPUTED_VALUE"""),2321.42)</f>
        <v>2321.42</v>
      </c>
      <c r="E448" s="1">
        <f ca="1">IFERROR(__xludf.DUMMYFUNCTION("""COMPUTED_VALUE"""),2328.25)</f>
        <v>2328.25</v>
      </c>
      <c r="F448" s="1">
        <f ca="1">IFERROR(__xludf.DUMMYFUNCTION("""COMPUTED_VALUE"""),884994768)</f>
        <v>884994768</v>
      </c>
    </row>
    <row r="449" spans="1:6" ht="13" x14ac:dyDescent="0.15">
      <c r="A449" s="2">
        <f ca="1">IFERROR(__xludf.DUMMYFUNCTION("""COMPUTED_VALUE"""),42780.6666666666)</f>
        <v>42780.666666666599</v>
      </c>
      <c r="B449" s="1">
        <f ca="1">IFERROR(__xludf.DUMMYFUNCTION("""COMPUTED_VALUE"""),2326.12)</f>
        <v>2326.12</v>
      </c>
      <c r="C449" s="1">
        <f ca="1">IFERROR(__xludf.DUMMYFUNCTION("""COMPUTED_VALUE"""),2337.58)</f>
        <v>2337.58</v>
      </c>
      <c r="D449" s="1">
        <f ca="1">IFERROR(__xludf.DUMMYFUNCTION("""COMPUTED_VALUE"""),2322.17)</f>
        <v>2322.17</v>
      </c>
      <c r="E449" s="1">
        <f ca="1">IFERROR(__xludf.DUMMYFUNCTION("""COMPUTED_VALUE"""),2337.58)</f>
        <v>2337.58</v>
      </c>
      <c r="F449" s="1">
        <f ca="1">IFERROR(__xludf.DUMMYFUNCTION("""COMPUTED_VALUE"""),2163161000)</f>
        <v>2163161000</v>
      </c>
    </row>
    <row r="450" spans="1:6" ht="13" x14ac:dyDescent="0.15">
      <c r="A450" s="2">
        <f ca="1">IFERROR(__xludf.DUMMYFUNCTION("""COMPUTED_VALUE"""),42781.6666666666)</f>
        <v>42781.666666666599</v>
      </c>
      <c r="B450" s="1">
        <f ca="1">IFERROR(__xludf.DUMMYFUNCTION("""COMPUTED_VALUE"""),2335.58)</f>
        <v>2335.58</v>
      </c>
      <c r="C450" s="1">
        <f ca="1">IFERROR(__xludf.DUMMYFUNCTION("""COMPUTED_VALUE"""),2351.3)</f>
        <v>2351.3000000000002</v>
      </c>
      <c r="D450" s="1">
        <f ca="1">IFERROR(__xludf.DUMMYFUNCTION("""COMPUTED_VALUE"""),2334.81)</f>
        <v>2334.81</v>
      </c>
      <c r="E450" s="1">
        <f ca="1">IFERROR(__xludf.DUMMYFUNCTION("""COMPUTED_VALUE"""),2349.25)</f>
        <v>2349.25</v>
      </c>
      <c r="F450" s="1">
        <f ca="1">IFERROR(__xludf.DUMMYFUNCTION("""COMPUTED_VALUE"""),2251620057)</f>
        <v>2251620057</v>
      </c>
    </row>
    <row r="451" spans="1:6" ht="13" x14ac:dyDescent="0.15">
      <c r="A451" s="2">
        <f ca="1">IFERROR(__xludf.DUMMYFUNCTION("""COMPUTED_VALUE"""),42782.6666666666)</f>
        <v>42782.666666666599</v>
      </c>
      <c r="B451" s="1">
        <f ca="1">IFERROR(__xludf.DUMMYFUNCTION("""COMPUTED_VALUE"""),2349.64)</f>
        <v>2349.64</v>
      </c>
      <c r="C451" s="1">
        <f ca="1">IFERROR(__xludf.DUMMYFUNCTION("""COMPUTED_VALUE"""),2351.31)</f>
        <v>2351.31</v>
      </c>
      <c r="D451" s="1">
        <f ca="1">IFERROR(__xludf.DUMMYFUNCTION("""COMPUTED_VALUE"""),2338.87)</f>
        <v>2338.87</v>
      </c>
      <c r="E451" s="1">
        <f ca="1">IFERROR(__xludf.DUMMYFUNCTION("""COMPUTED_VALUE"""),2347.22)</f>
        <v>2347.2199999999998</v>
      </c>
      <c r="F451" s="1">
        <f ca="1">IFERROR(__xludf.DUMMYFUNCTION("""COMPUTED_VALUE"""),1012302953)</f>
        <v>1012302953</v>
      </c>
    </row>
    <row r="452" spans="1:6" ht="13" x14ac:dyDescent="0.15">
      <c r="A452" s="2">
        <f ca="1">IFERROR(__xludf.DUMMYFUNCTION("""COMPUTED_VALUE"""),42783.6666666666)</f>
        <v>42783.666666666599</v>
      </c>
      <c r="B452" s="1">
        <f ca="1">IFERROR(__xludf.DUMMYFUNCTION("""COMPUTED_VALUE"""),2343.01)</f>
        <v>2343.0100000000002</v>
      </c>
      <c r="C452" s="1">
        <f ca="1">IFERROR(__xludf.DUMMYFUNCTION("""COMPUTED_VALUE"""),2351.16)</f>
        <v>2351.16</v>
      </c>
      <c r="D452" s="1">
        <f ca="1">IFERROR(__xludf.DUMMYFUNCTION("""COMPUTED_VALUE"""),2339.58)</f>
        <v>2339.58</v>
      </c>
      <c r="E452" s="1">
        <f ca="1">IFERROR(__xludf.DUMMYFUNCTION("""COMPUTED_VALUE"""),2351.16)</f>
        <v>2351.16</v>
      </c>
      <c r="F452" s="1">
        <f ca="1">IFERROR(__xludf.DUMMYFUNCTION("""COMPUTED_VALUE"""),1045689889)</f>
        <v>1045689889</v>
      </c>
    </row>
    <row r="453" spans="1:6" ht="13" x14ac:dyDescent="0.15">
      <c r="A453" s="2">
        <f ca="1">IFERROR(__xludf.DUMMYFUNCTION("""COMPUTED_VALUE"""),42787.6666666666)</f>
        <v>42787.666666666599</v>
      </c>
      <c r="B453" s="1">
        <f ca="1">IFERROR(__xludf.DUMMYFUNCTION("""COMPUTED_VALUE"""),2354.91)</f>
        <v>2354.91</v>
      </c>
      <c r="C453" s="1">
        <f ca="1">IFERROR(__xludf.DUMMYFUNCTION("""COMPUTED_VALUE"""),2366.71)</f>
        <v>2366.71</v>
      </c>
      <c r="D453" s="1">
        <f ca="1">IFERROR(__xludf.DUMMYFUNCTION("""COMPUTED_VALUE"""),2354.91)</f>
        <v>2354.91</v>
      </c>
      <c r="E453" s="1">
        <f ca="1">IFERROR(__xludf.DUMMYFUNCTION("""COMPUTED_VALUE"""),2365.38)</f>
        <v>2365.38</v>
      </c>
      <c r="F453" s="1">
        <f ca="1">IFERROR(__xludf.DUMMYFUNCTION("""COMPUTED_VALUE"""),1034890289)</f>
        <v>1034890289</v>
      </c>
    </row>
    <row r="454" spans="1:6" ht="13" x14ac:dyDescent="0.15">
      <c r="A454" s="2">
        <f ca="1">IFERROR(__xludf.DUMMYFUNCTION("""COMPUTED_VALUE"""),42788.6666666666)</f>
        <v>42788.666666666599</v>
      </c>
      <c r="B454" s="1">
        <f ca="1">IFERROR(__xludf.DUMMYFUNCTION("""COMPUTED_VALUE"""),2361.11)</f>
        <v>2361.11</v>
      </c>
      <c r="C454" s="1">
        <f ca="1">IFERROR(__xludf.DUMMYFUNCTION("""COMPUTED_VALUE"""),2365.13)</f>
        <v>2365.13</v>
      </c>
      <c r="D454" s="1">
        <f ca="1">IFERROR(__xludf.DUMMYFUNCTION("""COMPUTED_VALUE"""),2358.34)</f>
        <v>2358.34</v>
      </c>
      <c r="E454" s="1">
        <f ca="1">IFERROR(__xludf.DUMMYFUNCTION("""COMPUTED_VALUE"""),2362.82)</f>
        <v>2362.8200000000002</v>
      </c>
      <c r="F454" s="1">
        <f ca="1">IFERROR(__xludf.DUMMYFUNCTION("""COMPUTED_VALUE"""),880108485)</f>
        <v>880108485</v>
      </c>
    </row>
    <row r="455" spans="1:6" ht="13" x14ac:dyDescent="0.15">
      <c r="A455" s="2">
        <f ca="1">IFERROR(__xludf.DUMMYFUNCTION("""COMPUTED_VALUE"""),42789.6666666666)</f>
        <v>42789.666666666599</v>
      </c>
      <c r="B455" s="1">
        <f ca="1">IFERROR(__xludf.DUMMYFUNCTION("""COMPUTED_VALUE"""),2367.5)</f>
        <v>2367.5</v>
      </c>
      <c r="C455" s="1">
        <f ca="1">IFERROR(__xludf.DUMMYFUNCTION("""COMPUTED_VALUE"""),2368.26)</f>
        <v>2368.2600000000002</v>
      </c>
      <c r="D455" s="1">
        <f ca="1">IFERROR(__xludf.DUMMYFUNCTION("""COMPUTED_VALUE"""),2355.09)</f>
        <v>2355.09</v>
      </c>
      <c r="E455" s="1">
        <f ca="1">IFERROR(__xludf.DUMMYFUNCTION("""COMPUTED_VALUE"""),2363.81)</f>
        <v>2363.81</v>
      </c>
      <c r="F455" s="1">
        <f ca="1">IFERROR(__xludf.DUMMYFUNCTION("""COMPUTED_VALUE"""),2200797996)</f>
        <v>2200797996</v>
      </c>
    </row>
    <row r="456" spans="1:6" ht="13" x14ac:dyDescent="0.15">
      <c r="A456" s="2">
        <f ca="1">IFERROR(__xludf.DUMMYFUNCTION("""COMPUTED_VALUE"""),42790.6666666666)</f>
        <v>42790.666666666599</v>
      </c>
      <c r="B456" s="1">
        <f ca="1">IFERROR(__xludf.DUMMYFUNCTION("""COMPUTED_VALUE"""),2355.73)</f>
        <v>2355.73</v>
      </c>
      <c r="C456" s="1">
        <f ca="1">IFERROR(__xludf.DUMMYFUNCTION("""COMPUTED_VALUE"""),2367.34)</f>
        <v>2367.34</v>
      </c>
      <c r="D456" s="1">
        <f ca="1">IFERROR(__xludf.DUMMYFUNCTION("""COMPUTED_VALUE"""),2352.87)</f>
        <v>2352.87</v>
      </c>
      <c r="E456" s="1">
        <f ca="1">IFERROR(__xludf.DUMMYFUNCTION("""COMPUTED_VALUE"""),2367.34)</f>
        <v>2367.34</v>
      </c>
      <c r="F456" s="1">
        <f ca="1">IFERROR(__xludf.DUMMYFUNCTION("""COMPUTED_VALUE"""),2190395580)</f>
        <v>2190395580</v>
      </c>
    </row>
    <row r="457" spans="1:6" ht="13" x14ac:dyDescent="0.15">
      <c r="A457" s="2">
        <f ca="1">IFERROR(__xludf.DUMMYFUNCTION("""COMPUTED_VALUE"""),42793.6666666666)</f>
        <v>42793.666666666599</v>
      </c>
      <c r="B457" s="1">
        <f ca="1">IFERROR(__xludf.DUMMYFUNCTION("""COMPUTED_VALUE"""),2365.23)</f>
        <v>2365.23</v>
      </c>
      <c r="C457" s="1">
        <f ca="1">IFERROR(__xludf.DUMMYFUNCTION("""COMPUTED_VALUE"""),2371.54)</f>
        <v>2371.54</v>
      </c>
      <c r="D457" s="1">
        <f ca="1">IFERROR(__xludf.DUMMYFUNCTION("""COMPUTED_VALUE"""),2361.87)</f>
        <v>2361.87</v>
      </c>
      <c r="E457" s="1">
        <f ca="1">IFERROR(__xludf.DUMMYFUNCTION("""COMPUTED_VALUE"""),2369.75)</f>
        <v>2369.75</v>
      </c>
      <c r="F457" s="1">
        <f ca="1">IFERROR(__xludf.DUMMYFUNCTION("""COMPUTED_VALUE"""),807561788)</f>
        <v>807561788</v>
      </c>
    </row>
    <row r="458" spans="1:6" ht="13" x14ac:dyDescent="0.15">
      <c r="A458" s="2">
        <f ca="1">IFERROR(__xludf.DUMMYFUNCTION("""COMPUTED_VALUE"""),42794.6666666666)</f>
        <v>42794.666666666599</v>
      </c>
      <c r="B458" s="1">
        <f ca="1">IFERROR(__xludf.DUMMYFUNCTION("""COMPUTED_VALUE"""),2366.08)</f>
        <v>2366.08</v>
      </c>
      <c r="C458" s="1">
        <f ca="1">IFERROR(__xludf.DUMMYFUNCTION("""COMPUTED_VALUE"""),2367.79)</f>
        <v>2367.79</v>
      </c>
      <c r="D458" s="1">
        <f ca="1">IFERROR(__xludf.DUMMYFUNCTION("""COMPUTED_VALUE"""),2358.96)</f>
        <v>2358.96</v>
      </c>
      <c r="E458" s="1">
        <f ca="1">IFERROR(__xludf.DUMMYFUNCTION("""COMPUTED_VALUE"""),2363.64)</f>
        <v>2363.64</v>
      </c>
      <c r="F458" s="1">
        <f ca="1">IFERROR(__xludf.DUMMYFUNCTION("""COMPUTED_VALUE"""),2538169000)</f>
        <v>2538169000</v>
      </c>
    </row>
    <row r="459" spans="1:6" ht="13" x14ac:dyDescent="0.15">
      <c r="A459" s="2">
        <f ca="1">IFERROR(__xludf.DUMMYFUNCTION("""COMPUTED_VALUE"""),42795.6666666666)</f>
        <v>42795.666666666599</v>
      </c>
      <c r="B459" s="1">
        <f ca="1">IFERROR(__xludf.DUMMYFUNCTION("""COMPUTED_VALUE"""),2380.13)</f>
        <v>2380.13</v>
      </c>
      <c r="C459" s="1">
        <f ca="1">IFERROR(__xludf.DUMMYFUNCTION("""COMPUTED_VALUE"""),2400.98)</f>
        <v>2400.98</v>
      </c>
      <c r="D459" s="1">
        <f ca="1">IFERROR(__xludf.DUMMYFUNCTION("""COMPUTED_VALUE"""),2380.13)</f>
        <v>2380.13</v>
      </c>
      <c r="E459" s="1">
        <f ca="1">IFERROR(__xludf.DUMMYFUNCTION("""COMPUTED_VALUE"""),2395.96)</f>
        <v>2395.96</v>
      </c>
      <c r="F459" s="1">
        <f ca="1">IFERROR(__xludf.DUMMYFUNCTION("""COMPUTED_VALUE"""),2575918105)</f>
        <v>2575918105</v>
      </c>
    </row>
    <row r="460" spans="1:6" ht="13" x14ac:dyDescent="0.15">
      <c r="A460" s="2">
        <f ca="1">IFERROR(__xludf.DUMMYFUNCTION("""COMPUTED_VALUE"""),42796.6666666666)</f>
        <v>42796.666666666599</v>
      </c>
      <c r="B460" s="1">
        <f ca="1">IFERROR(__xludf.DUMMYFUNCTION("""COMPUTED_VALUE"""),2394.75)</f>
        <v>2394.75</v>
      </c>
      <c r="C460" s="1">
        <f ca="1">IFERROR(__xludf.DUMMYFUNCTION("""COMPUTED_VALUE"""),2394.75)</f>
        <v>2394.75</v>
      </c>
      <c r="D460" s="1">
        <f ca="1">IFERROR(__xludf.DUMMYFUNCTION("""COMPUTED_VALUE"""),2380.17)</f>
        <v>2380.17</v>
      </c>
      <c r="E460" s="1">
        <f ca="1">IFERROR(__xludf.DUMMYFUNCTION("""COMPUTED_VALUE"""),2381.92)</f>
        <v>2381.92</v>
      </c>
      <c r="F460" s="1">
        <f ca="1">IFERROR(__xludf.DUMMYFUNCTION("""COMPUTED_VALUE"""),1046806171)</f>
        <v>1046806171</v>
      </c>
    </row>
    <row r="461" spans="1:6" ht="13" x14ac:dyDescent="0.15">
      <c r="A461" s="2">
        <f ca="1">IFERROR(__xludf.DUMMYFUNCTION("""COMPUTED_VALUE"""),42797.6666666666)</f>
        <v>42797.666666666599</v>
      </c>
      <c r="B461" s="1">
        <f ca="1">IFERROR(__xludf.DUMMYFUNCTION("""COMPUTED_VALUE"""),2380.92)</f>
        <v>2380.92</v>
      </c>
      <c r="C461" s="1">
        <f ca="1">IFERROR(__xludf.DUMMYFUNCTION("""COMPUTED_VALUE"""),2383.89)</f>
        <v>2383.89</v>
      </c>
      <c r="D461" s="1">
        <f ca="1">IFERROR(__xludf.DUMMYFUNCTION("""COMPUTED_VALUE"""),2375.39)</f>
        <v>2375.39</v>
      </c>
      <c r="E461" s="1">
        <f ca="1">IFERROR(__xludf.DUMMYFUNCTION("""COMPUTED_VALUE"""),2383.12)</f>
        <v>2383.12</v>
      </c>
      <c r="F461" s="1">
        <f ca="1">IFERROR(__xludf.DUMMYFUNCTION("""COMPUTED_VALUE"""),759171544)</f>
        <v>759171544</v>
      </c>
    </row>
    <row r="462" spans="1:6" ht="13" x14ac:dyDescent="0.15">
      <c r="A462" s="2">
        <f ca="1">IFERROR(__xludf.DUMMYFUNCTION("""COMPUTED_VALUE"""),42800.6666666666)</f>
        <v>42800.666666666599</v>
      </c>
      <c r="B462" s="1">
        <f ca="1">IFERROR(__xludf.DUMMYFUNCTION("""COMPUTED_VALUE"""),2375.23)</f>
        <v>2375.23</v>
      </c>
      <c r="C462" s="1">
        <f ca="1">IFERROR(__xludf.DUMMYFUNCTION("""COMPUTED_VALUE"""),2378.8)</f>
        <v>2378.8000000000002</v>
      </c>
      <c r="D462" s="1">
        <f ca="1">IFERROR(__xludf.DUMMYFUNCTION("""COMPUTED_VALUE"""),2367.98)</f>
        <v>2367.98</v>
      </c>
      <c r="E462" s="1">
        <f ca="1">IFERROR(__xludf.DUMMYFUNCTION("""COMPUTED_VALUE"""),2375.31)</f>
        <v>2375.31</v>
      </c>
      <c r="F462" s="1">
        <f ca="1">IFERROR(__xludf.DUMMYFUNCTION("""COMPUTED_VALUE"""),815247188)</f>
        <v>815247188</v>
      </c>
    </row>
    <row r="463" spans="1:6" ht="13" x14ac:dyDescent="0.15">
      <c r="A463" s="2">
        <f ca="1">IFERROR(__xludf.DUMMYFUNCTION("""COMPUTED_VALUE"""),42801.6666666666)</f>
        <v>42801.666666666599</v>
      </c>
      <c r="B463" s="1">
        <f ca="1">IFERROR(__xludf.DUMMYFUNCTION("""COMPUTED_VALUE"""),2370.74)</f>
        <v>2370.7399999999998</v>
      </c>
      <c r="C463" s="1">
        <f ca="1">IFERROR(__xludf.DUMMYFUNCTION("""COMPUTED_VALUE"""),2375.12)</f>
        <v>2375.12</v>
      </c>
      <c r="D463" s="1">
        <f ca="1">IFERROR(__xludf.DUMMYFUNCTION("""COMPUTED_VALUE"""),2365.51)</f>
        <v>2365.5100000000002</v>
      </c>
      <c r="E463" s="1">
        <f ca="1">IFERROR(__xludf.DUMMYFUNCTION("""COMPUTED_VALUE"""),2368.39)</f>
        <v>2368.39</v>
      </c>
      <c r="F463" s="1">
        <f ca="1">IFERROR(__xludf.DUMMYFUNCTION("""COMPUTED_VALUE"""),839221691)</f>
        <v>839221691</v>
      </c>
    </row>
    <row r="464" spans="1:6" ht="13" x14ac:dyDescent="0.15">
      <c r="A464" s="2">
        <f ca="1">IFERROR(__xludf.DUMMYFUNCTION("""COMPUTED_VALUE"""),42802.6666666666)</f>
        <v>42802.666666666599</v>
      </c>
      <c r="B464" s="1">
        <f ca="1">IFERROR(__xludf.DUMMYFUNCTION("""COMPUTED_VALUE"""),2369.81)</f>
        <v>2369.81</v>
      </c>
      <c r="C464" s="1">
        <f ca="1">IFERROR(__xludf.DUMMYFUNCTION("""COMPUTED_VALUE"""),2373.09)</f>
        <v>2373.09</v>
      </c>
      <c r="D464" s="1">
        <f ca="1">IFERROR(__xludf.DUMMYFUNCTION("""COMPUTED_VALUE"""),2361.01)</f>
        <v>2361.0100000000002</v>
      </c>
      <c r="E464" s="1">
        <f ca="1">IFERROR(__xludf.DUMMYFUNCTION("""COMPUTED_VALUE"""),2362.98)</f>
        <v>2362.98</v>
      </c>
      <c r="F464" s="1">
        <f ca="1">IFERROR(__xludf.DUMMYFUNCTION("""COMPUTED_VALUE"""),1011764443)</f>
        <v>1011764443</v>
      </c>
    </row>
    <row r="465" spans="1:6" ht="13" x14ac:dyDescent="0.15">
      <c r="A465" s="2">
        <f ca="1">IFERROR(__xludf.DUMMYFUNCTION("""COMPUTED_VALUE"""),42803.6666666666)</f>
        <v>42803.666666666599</v>
      </c>
      <c r="B465" s="1">
        <f ca="1">IFERROR(__xludf.DUMMYFUNCTION("""COMPUTED_VALUE"""),2363.49)</f>
        <v>2363.4899999999998</v>
      </c>
      <c r="C465" s="1">
        <f ca="1">IFERROR(__xludf.DUMMYFUNCTION("""COMPUTED_VALUE"""),2369.08)</f>
        <v>2369.08</v>
      </c>
      <c r="D465" s="1">
        <f ca="1">IFERROR(__xludf.DUMMYFUNCTION("""COMPUTED_VALUE"""),2354.54)</f>
        <v>2354.54</v>
      </c>
      <c r="E465" s="1">
        <f ca="1">IFERROR(__xludf.DUMMYFUNCTION("""COMPUTED_VALUE"""),2364.87)</f>
        <v>2364.87</v>
      </c>
      <c r="F465" s="1">
        <f ca="1">IFERROR(__xludf.DUMMYFUNCTION("""COMPUTED_VALUE"""),945423548)</f>
        <v>945423548</v>
      </c>
    </row>
    <row r="466" spans="1:6" ht="13" x14ac:dyDescent="0.15">
      <c r="A466" s="2">
        <f ca="1">IFERROR(__xludf.DUMMYFUNCTION("""COMPUTED_VALUE"""),42804.6666666666)</f>
        <v>42804.666666666599</v>
      </c>
      <c r="B466" s="1">
        <f ca="1">IFERROR(__xludf.DUMMYFUNCTION("""COMPUTED_VALUE"""),2372.52)</f>
        <v>2372.52</v>
      </c>
      <c r="C466" s="1">
        <f ca="1">IFERROR(__xludf.DUMMYFUNCTION("""COMPUTED_VALUE"""),2376.86)</f>
        <v>2376.86</v>
      </c>
      <c r="D466" s="1">
        <f ca="1">IFERROR(__xludf.DUMMYFUNCTION("""COMPUTED_VALUE"""),2363.04)</f>
        <v>2363.04</v>
      </c>
      <c r="E466" s="1">
        <f ca="1">IFERROR(__xludf.DUMMYFUNCTION("""COMPUTED_VALUE"""),2372.6)</f>
        <v>2372.6</v>
      </c>
      <c r="F466" s="1">
        <f ca="1">IFERROR(__xludf.DUMMYFUNCTION("""COMPUTED_VALUE"""),944187975)</f>
        <v>944187975</v>
      </c>
    </row>
    <row r="467" spans="1:6" ht="13" x14ac:dyDescent="0.15">
      <c r="A467" s="2">
        <f ca="1">IFERROR(__xludf.DUMMYFUNCTION("""COMPUTED_VALUE"""),42807.6666666666)</f>
        <v>42807.666666666599</v>
      </c>
      <c r="B467" s="1">
        <f ca="1">IFERROR(__xludf.DUMMYFUNCTION("""COMPUTED_VALUE"""),2371.56)</f>
        <v>2371.56</v>
      </c>
      <c r="C467" s="1">
        <f ca="1">IFERROR(__xludf.DUMMYFUNCTION("""COMPUTED_VALUE"""),2374.42)</f>
        <v>2374.42</v>
      </c>
      <c r="D467" s="1">
        <f ca="1">IFERROR(__xludf.DUMMYFUNCTION("""COMPUTED_VALUE"""),2368.52)</f>
        <v>2368.52</v>
      </c>
      <c r="E467" s="1">
        <f ca="1">IFERROR(__xludf.DUMMYFUNCTION("""COMPUTED_VALUE"""),2373.47)</f>
        <v>2373.4699999999998</v>
      </c>
      <c r="F467" s="1">
        <f ca="1">IFERROR(__xludf.DUMMYFUNCTION("""COMPUTED_VALUE"""),748522349)</f>
        <v>748522349</v>
      </c>
    </row>
    <row r="468" spans="1:6" ht="13" x14ac:dyDescent="0.15">
      <c r="A468" s="2">
        <f ca="1">IFERROR(__xludf.DUMMYFUNCTION("""COMPUTED_VALUE"""),42808.6666666666)</f>
        <v>42808.666666666599</v>
      </c>
      <c r="B468" s="1">
        <f ca="1">IFERROR(__xludf.DUMMYFUNCTION("""COMPUTED_VALUE"""),2368.55)</f>
        <v>2368.5500000000002</v>
      </c>
      <c r="C468" s="1">
        <f ca="1">IFERROR(__xludf.DUMMYFUNCTION("""COMPUTED_VALUE"""),2368.55)</f>
        <v>2368.5500000000002</v>
      </c>
      <c r="D468" s="1">
        <f ca="1">IFERROR(__xludf.DUMMYFUNCTION("""COMPUTED_VALUE"""),2358.18)</f>
        <v>2358.1799999999998</v>
      </c>
      <c r="E468" s="1">
        <f ca="1">IFERROR(__xludf.DUMMYFUNCTION("""COMPUTED_VALUE"""),2365.45)</f>
        <v>2365.4499999999998</v>
      </c>
      <c r="F468" s="1">
        <f ca="1">IFERROR(__xludf.DUMMYFUNCTION("""COMPUTED_VALUE"""),611348401)</f>
        <v>611348401</v>
      </c>
    </row>
    <row r="469" spans="1:6" ht="13" x14ac:dyDescent="0.15">
      <c r="A469" s="2">
        <f ca="1">IFERROR(__xludf.DUMMYFUNCTION("""COMPUTED_VALUE"""),42809.6666666666)</f>
        <v>42809.666666666599</v>
      </c>
      <c r="B469" s="1">
        <f ca="1">IFERROR(__xludf.DUMMYFUNCTION("""COMPUTED_VALUE"""),2370.34)</f>
        <v>2370.34</v>
      </c>
      <c r="C469" s="1">
        <f ca="1">IFERROR(__xludf.DUMMYFUNCTION("""COMPUTED_VALUE"""),2390.01)</f>
        <v>2390.0100000000002</v>
      </c>
      <c r="D469" s="1">
        <f ca="1">IFERROR(__xludf.DUMMYFUNCTION("""COMPUTED_VALUE"""),2368.94)</f>
        <v>2368.94</v>
      </c>
      <c r="E469" s="1">
        <f ca="1">IFERROR(__xludf.DUMMYFUNCTION("""COMPUTED_VALUE"""),2385.26)</f>
        <v>2385.2600000000002</v>
      </c>
      <c r="F469" s="1">
        <f ca="1">IFERROR(__xludf.DUMMYFUNCTION("""COMPUTED_VALUE"""),1051135929)</f>
        <v>1051135929</v>
      </c>
    </row>
    <row r="470" spans="1:6" ht="13" x14ac:dyDescent="0.15">
      <c r="A470" s="2">
        <f ca="1">IFERROR(__xludf.DUMMYFUNCTION("""COMPUTED_VALUE"""),42810.6666666666)</f>
        <v>42810.666666666599</v>
      </c>
      <c r="B470" s="1">
        <f ca="1">IFERROR(__xludf.DUMMYFUNCTION("""COMPUTED_VALUE"""),2387.71)</f>
        <v>2387.71</v>
      </c>
      <c r="C470" s="1">
        <f ca="1">IFERROR(__xludf.DUMMYFUNCTION("""COMPUTED_VALUE"""),2388.1)</f>
        <v>2388.1</v>
      </c>
      <c r="D470" s="1">
        <f ca="1">IFERROR(__xludf.DUMMYFUNCTION("""COMPUTED_VALUE"""),2377.18)</f>
        <v>2377.1799999999998</v>
      </c>
      <c r="E470" s="1">
        <f ca="1">IFERROR(__xludf.DUMMYFUNCTION("""COMPUTED_VALUE"""),2381.38)</f>
        <v>2381.38</v>
      </c>
      <c r="F470" s="1">
        <f ca="1">IFERROR(__xludf.DUMMYFUNCTION("""COMPUTED_VALUE"""),804297342)</f>
        <v>804297342</v>
      </c>
    </row>
    <row r="471" spans="1:6" ht="13" x14ac:dyDescent="0.15">
      <c r="A471" s="2">
        <f ca="1">IFERROR(__xludf.DUMMYFUNCTION("""COMPUTED_VALUE"""),42811.6666666666)</f>
        <v>42811.666666666599</v>
      </c>
      <c r="B471" s="1">
        <f ca="1">IFERROR(__xludf.DUMMYFUNCTION("""COMPUTED_VALUE"""),2383.71)</f>
        <v>2383.71</v>
      </c>
      <c r="C471" s="1">
        <f ca="1">IFERROR(__xludf.DUMMYFUNCTION("""COMPUTED_VALUE"""),2385.71)</f>
        <v>2385.71</v>
      </c>
      <c r="D471" s="1">
        <f ca="1">IFERROR(__xludf.DUMMYFUNCTION("""COMPUTED_VALUE"""),2377.64)</f>
        <v>2377.64</v>
      </c>
      <c r="E471" s="1">
        <f ca="1">IFERROR(__xludf.DUMMYFUNCTION("""COMPUTED_VALUE"""),2378.25)</f>
        <v>2378.25</v>
      </c>
      <c r="F471" s="1">
        <f ca="1">IFERROR(__xludf.DUMMYFUNCTION("""COMPUTED_VALUE"""),3398204726)</f>
        <v>3398204726</v>
      </c>
    </row>
    <row r="472" spans="1:6" ht="13" x14ac:dyDescent="0.15">
      <c r="A472" s="2">
        <f ca="1">IFERROR(__xludf.DUMMYFUNCTION("""COMPUTED_VALUE"""),42814.6666666666)</f>
        <v>42814.666666666599</v>
      </c>
      <c r="B472" s="1">
        <f ca="1">IFERROR(__xludf.DUMMYFUNCTION("""COMPUTED_VALUE"""),2378.24)</f>
        <v>2378.2399999999998</v>
      </c>
      <c r="C472" s="1">
        <f ca="1">IFERROR(__xludf.DUMMYFUNCTION("""COMPUTED_VALUE"""),2379.55)</f>
        <v>2379.5500000000002</v>
      </c>
      <c r="D472" s="1">
        <f ca="1">IFERROR(__xludf.DUMMYFUNCTION("""COMPUTED_VALUE"""),2369.66)</f>
        <v>2369.66</v>
      </c>
      <c r="E472" s="1">
        <f ca="1">IFERROR(__xludf.DUMMYFUNCTION("""COMPUTED_VALUE"""),2373.47)</f>
        <v>2373.4699999999998</v>
      </c>
      <c r="F472" s="1">
        <f ca="1">IFERROR(__xludf.DUMMYFUNCTION("""COMPUTED_VALUE"""),748721673)</f>
        <v>748721673</v>
      </c>
    </row>
    <row r="473" spans="1:6" ht="13" x14ac:dyDescent="0.15">
      <c r="A473" s="2">
        <f ca="1">IFERROR(__xludf.DUMMYFUNCTION("""COMPUTED_VALUE"""),42815.6666666666)</f>
        <v>42815.666666666599</v>
      </c>
      <c r="B473" s="1">
        <f ca="1">IFERROR(__xludf.DUMMYFUNCTION("""COMPUTED_VALUE"""),2379.32)</f>
        <v>2379.3200000000002</v>
      </c>
      <c r="C473" s="1">
        <f ca="1">IFERROR(__xludf.DUMMYFUNCTION("""COMPUTED_VALUE"""),2381.93)</f>
        <v>2381.9299999999998</v>
      </c>
      <c r="D473" s="1">
        <f ca="1">IFERROR(__xludf.DUMMYFUNCTION("""COMPUTED_VALUE"""),2341.9)</f>
        <v>2341.9</v>
      </c>
      <c r="E473" s="1">
        <f ca="1">IFERROR(__xludf.DUMMYFUNCTION("""COMPUTED_VALUE"""),2344.02)</f>
        <v>2344.02</v>
      </c>
      <c r="F473" s="1">
        <f ca="1">IFERROR(__xludf.DUMMYFUNCTION("""COMPUTED_VALUE"""),2637087666)</f>
        <v>2637087666</v>
      </c>
    </row>
    <row r="474" spans="1:6" ht="13" x14ac:dyDescent="0.15">
      <c r="A474" s="2">
        <f ca="1">IFERROR(__xludf.DUMMYFUNCTION("""COMPUTED_VALUE"""),42816.6666666666)</f>
        <v>42816.666666666599</v>
      </c>
      <c r="B474" s="1">
        <f ca="1">IFERROR(__xludf.DUMMYFUNCTION("""COMPUTED_VALUE"""),2343)</f>
        <v>2343</v>
      </c>
      <c r="C474" s="1">
        <f ca="1">IFERROR(__xludf.DUMMYFUNCTION("""COMPUTED_VALUE"""),2351.81)</f>
        <v>2351.81</v>
      </c>
      <c r="D474" s="1">
        <f ca="1">IFERROR(__xludf.DUMMYFUNCTION("""COMPUTED_VALUE"""),2336.45)</f>
        <v>2336.4499999999998</v>
      </c>
      <c r="E474" s="1">
        <f ca="1">IFERROR(__xludf.DUMMYFUNCTION("""COMPUTED_VALUE"""),2348.45)</f>
        <v>2348.4499999999998</v>
      </c>
      <c r="F474" s="1">
        <f ca="1">IFERROR(__xludf.DUMMYFUNCTION("""COMPUTED_VALUE"""),1064812901)</f>
        <v>1064812901</v>
      </c>
    </row>
    <row r="475" spans="1:6" ht="13" x14ac:dyDescent="0.15">
      <c r="A475" s="2">
        <f ca="1">IFERROR(__xludf.DUMMYFUNCTION("""COMPUTED_VALUE"""),42817.6666666666)</f>
        <v>42817.666666666599</v>
      </c>
      <c r="B475" s="1">
        <f ca="1">IFERROR(__xludf.DUMMYFUNCTION("""COMPUTED_VALUE"""),2345.97)</f>
        <v>2345.9699999999998</v>
      </c>
      <c r="C475" s="1">
        <f ca="1">IFERROR(__xludf.DUMMYFUNCTION("""COMPUTED_VALUE"""),2358.92)</f>
        <v>2358.92</v>
      </c>
      <c r="D475" s="1">
        <f ca="1">IFERROR(__xludf.DUMMYFUNCTION("""COMPUTED_VALUE"""),2342.13)</f>
        <v>2342.13</v>
      </c>
      <c r="E475" s="1">
        <f ca="1">IFERROR(__xludf.DUMMYFUNCTION("""COMPUTED_VALUE"""),2345.96)</f>
        <v>2345.96</v>
      </c>
      <c r="F475" s="1">
        <f ca="1">IFERROR(__xludf.DUMMYFUNCTION("""COMPUTED_VALUE"""),844974813)</f>
        <v>844974813</v>
      </c>
    </row>
    <row r="476" spans="1:6" ht="13" x14ac:dyDescent="0.15">
      <c r="A476" s="2">
        <f ca="1">IFERROR(__xludf.DUMMYFUNCTION("""COMPUTED_VALUE"""),42818.6666666666)</f>
        <v>42818.666666666599</v>
      </c>
      <c r="B476" s="1">
        <f ca="1">IFERROR(__xludf.DUMMYFUNCTION("""COMPUTED_VALUE"""),2350.42)</f>
        <v>2350.42</v>
      </c>
      <c r="C476" s="1">
        <f ca="1">IFERROR(__xludf.DUMMYFUNCTION("""COMPUTED_VALUE"""),2356.22)</f>
        <v>2356.2199999999998</v>
      </c>
      <c r="D476" s="1">
        <f ca="1">IFERROR(__xludf.DUMMYFUNCTION("""COMPUTED_VALUE"""),2335.74)</f>
        <v>2335.7399999999998</v>
      </c>
      <c r="E476" s="1">
        <f ca="1">IFERROR(__xludf.DUMMYFUNCTION("""COMPUTED_VALUE"""),2343.98)</f>
        <v>2343.98</v>
      </c>
      <c r="F476" s="1">
        <f ca="1">IFERROR(__xludf.DUMMYFUNCTION("""COMPUTED_VALUE"""),846511854)</f>
        <v>846511854</v>
      </c>
    </row>
    <row r="477" spans="1:6" ht="13" x14ac:dyDescent="0.15">
      <c r="A477" s="2">
        <f ca="1">IFERROR(__xludf.DUMMYFUNCTION("""COMPUTED_VALUE"""),42821.6666666666)</f>
        <v>42821.666666666599</v>
      </c>
      <c r="B477" s="1">
        <f ca="1">IFERROR(__xludf.DUMMYFUNCTION("""COMPUTED_VALUE"""),2329.11)</f>
        <v>2329.11</v>
      </c>
      <c r="C477" s="1">
        <f ca="1">IFERROR(__xludf.DUMMYFUNCTION("""COMPUTED_VALUE"""),2344.9)</f>
        <v>2344.9</v>
      </c>
      <c r="D477" s="1">
        <f ca="1">IFERROR(__xludf.DUMMYFUNCTION("""COMPUTED_VALUE"""),2322.25)</f>
        <v>2322.25</v>
      </c>
      <c r="E477" s="1">
        <f ca="1">IFERROR(__xludf.DUMMYFUNCTION("""COMPUTED_VALUE"""),2341.59)</f>
        <v>2341.59</v>
      </c>
      <c r="F477" s="1">
        <f ca="1">IFERROR(__xludf.DUMMYFUNCTION("""COMPUTED_VALUE"""),858018011)</f>
        <v>858018011</v>
      </c>
    </row>
    <row r="478" spans="1:6" ht="13" x14ac:dyDescent="0.15">
      <c r="A478" s="2">
        <f ca="1">IFERROR(__xludf.DUMMYFUNCTION("""COMPUTED_VALUE"""),42822.6666666666)</f>
        <v>42822.666666666599</v>
      </c>
      <c r="B478" s="1">
        <f ca="1">IFERROR(__xludf.DUMMYFUNCTION("""COMPUTED_VALUE"""),2339.79)</f>
        <v>2339.79</v>
      </c>
      <c r="C478" s="1">
        <f ca="1">IFERROR(__xludf.DUMMYFUNCTION("""COMPUTED_VALUE"""),2363.78)</f>
        <v>2363.7800000000002</v>
      </c>
      <c r="D478" s="1">
        <f ca="1">IFERROR(__xludf.DUMMYFUNCTION("""COMPUTED_VALUE"""),2337.63)</f>
        <v>2337.63</v>
      </c>
      <c r="E478" s="1">
        <f ca="1">IFERROR(__xludf.DUMMYFUNCTION("""COMPUTED_VALUE"""),2358.57)</f>
        <v>2358.5700000000002</v>
      </c>
      <c r="F478" s="1">
        <f ca="1">IFERROR(__xludf.DUMMYFUNCTION("""COMPUTED_VALUE"""),877571724)</f>
        <v>877571724</v>
      </c>
    </row>
    <row r="479" spans="1:6" ht="13" x14ac:dyDescent="0.15">
      <c r="A479" s="2">
        <f ca="1">IFERROR(__xludf.DUMMYFUNCTION("""COMPUTED_VALUE"""),42823.6666666666)</f>
        <v>42823.666666666599</v>
      </c>
      <c r="B479" s="1">
        <f ca="1">IFERROR(__xludf.DUMMYFUNCTION("""COMPUTED_VALUE"""),2356.54)</f>
        <v>2356.54</v>
      </c>
      <c r="C479" s="1">
        <f ca="1">IFERROR(__xludf.DUMMYFUNCTION("""COMPUTED_VALUE"""),2363.36)</f>
        <v>2363.36</v>
      </c>
      <c r="D479" s="1">
        <f ca="1">IFERROR(__xludf.DUMMYFUNCTION("""COMPUTED_VALUE"""),2352.94)</f>
        <v>2352.94</v>
      </c>
      <c r="E479" s="1">
        <f ca="1">IFERROR(__xludf.DUMMYFUNCTION("""COMPUTED_VALUE"""),2361.13)</f>
        <v>2361.13</v>
      </c>
      <c r="F479" s="1">
        <f ca="1">IFERROR(__xludf.DUMMYFUNCTION("""COMPUTED_VALUE"""),660401033)</f>
        <v>660401033</v>
      </c>
    </row>
    <row r="480" spans="1:6" ht="13" x14ac:dyDescent="0.15">
      <c r="A480" s="2">
        <f ca="1">IFERROR(__xludf.DUMMYFUNCTION("""COMPUTED_VALUE"""),42824.6666666666)</f>
        <v>42824.666666666599</v>
      </c>
      <c r="B480" s="1">
        <f ca="1">IFERROR(__xludf.DUMMYFUNCTION("""COMPUTED_VALUE"""),2361.31)</f>
        <v>2361.31</v>
      </c>
      <c r="C480" s="1">
        <f ca="1">IFERROR(__xludf.DUMMYFUNCTION("""COMPUTED_VALUE"""),2370.42)</f>
        <v>2370.42</v>
      </c>
      <c r="D480" s="1">
        <f ca="1">IFERROR(__xludf.DUMMYFUNCTION("""COMPUTED_VALUE"""),2358.58)</f>
        <v>2358.58</v>
      </c>
      <c r="E480" s="1">
        <f ca="1">IFERROR(__xludf.DUMMYFUNCTION("""COMPUTED_VALUE"""),2368.06)</f>
        <v>2368.06</v>
      </c>
      <c r="F480" s="1">
        <f ca="1">IFERROR(__xludf.DUMMYFUNCTION("""COMPUTED_VALUE"""),775154439)</f>
        <v>775154439</v>
      </c>
    </row>
    <row r="481" spans="1:6" ht="13" x14ac:dyDescent="0.15">
      <c r="A481" s="2">
        <f ca="1">IFERROR(__xludf.DUMMYFUNCTION("""COMPUTED_VALUE"""),42825.6666666666)</f>
        <v>42825.666666666599</v>
      </c>
      <c r="B481" s="1">
        <f ca="1">IFERROR(__xludf.DUMMYFUNCTION("""COMPUTED_VALUE"""),2364.82)</f>
        <v>2364.8200000000002</v>
      </c>
      <c r="C481" s="1">
        <f ca="1">IFERROR(__xludf.DUMMYFUNCTION("""COMPUTED_VALUE"""),2370.35)</f>
        <v>2370.35</v>
      </c>
      <c r="D481" s="1">
        <f ca="1">IFERROR(__xludf.DUMMYFUNCTION("""COMPUTED_VALUE"""),2362.6)</f>
        <v>2362.6</v>
      </c>
      <c r="E481" s="1">
        <f ca="1">IFERROR(__xludf.DUMMYFUNCTION("""COMPUTED_VALUE"""),2362.72)</f>
        <v>2362.7199999999998</v>
      </c>
      <c r="F481" s="1">
        <f ca="1">IFERROR(__xludf.DUMMYFUNCTION("""COMPUTED_VALUE"""),923302112)</f>
        <v>923302112</v>
      </c>
    </row>
    <row r="482" spans="1:6" ht="13" x14ac:dyDescent="0.15">
      <c r="A482" s="2">
        <f ca="1">IFERROR(__xludf.DUMMYFUNCTION("""COMPUTED_VALUE"""),42828.6666666666)</f>
        <v>42828.666666666599</v>
      </c>
      <c r="B482" s="1">
        <f ca="1">IFERROR(__xludf.DUMMYFUNCTION("""COMPUTED_VALUE"""),2362.34)</f>
        <v>2362.34</v>
      </c>
      <c r="C482" s="1">
        <f ca="1">IFERROR(__xludf.DUMMYFUNCTION("""COMPUTED_VALUE"""),2365.87)</f>
        <v>2365.87</v>
      </c>
      <c r="D482" s="1">
        <f ca="1">IFERROR(__xludf.DUMMYFUNCTION("""COMPUTED_VALUE"""),2344.73)</f>
        <v>2344.73</v>
      </c>
      <c r="E482" s="1">
        <f ca="1">IFERROR(__xludf.DUMMYFUNCTION("""COMPUTED_VALUE"""),2358.84)</f>
        <v>2358.84</v>
      </c>
      <c r="F482" s="1">
        <f ca="1">IFERROR(__xludf.DUMMYFUNCTION("""COMPUTED_VALUE"""),2182258164)</f>
        <v>2182258164</v>
      </c>
    </row>
    <row r="483" spans="1:6" ht="13" x14ac:dyDescent="0.15">
      <c r="A483" s="2">
        <f ca="1">IFERROR(__xludf.DUMMYFUNCTION("""COMPUTED_VALUE"""),42829.6666666666)</f>
        <v>42829.666666666599</v>
      </c>
      <c r="B483" s="1">
        <f ca="1">IFERROR(__xludf.DUMMYFUNCTION("""COMPUTED_VALUE"""),2354.76)</f>
        <v>2354.7600000000002</v>
      </c>
      <c r="C483" s="1">
        <f ca="1">IFERROR(__xludf.DUMMYFUNCTION("""COMPUTED_VALUE"""),2360.53)</f>
        <v>2360.5300000000002</v>
      </c>
      <c r="D483" s="1">
        <f ca="1">IFERROR(__xludf.DUMMYFUNCTION("""COMPUTED_VALUE"""),2350.72)</f>
        <v>2350.7199999999998</v>
      </c>
      <c r="E483" s="1">
        <f ca="1">IFERROR(__xludf.DUMMYFUNCTION("""COMPUTED_VALUE"""),2360.16)</f>
        <v>2360.16</v>
      </c>
      <c r="F483" s="1">
        <f ca="1">IFERROR(__xludf.DUMMYFUNCTION("""COMPUTED_VALUE"""),746663640)</f>
        <v>746663640</v>
      </c>
    </row>
    <row r="484" spans="1:6" ht="13" x14ac:dyDescent="0.15">
      <c r="A484" s="2">
        <f ca="1">IFERROR(__xludf.DUMMYFUNCTION("""COMPUTED_VALUE"""),42830.6666666666)</f>
        <v>42830.666666666599</v>
      </c>
      <c r="B484" s="1">
        <f ca="1">IFERROR(__xludf.DUMMYFUNCTION("""COMPUTED_VALUE"""),2366.59)</f>
        <v>2366.59</v>
      </c>
      <c r="C484" s="1">
        <f ca="1">IFERROR(__xludf.DUMMYFUNCTION("""COMPUTED_VALUE"""),2378.36)</f>
        <v>2378.36</v>
      </c>
      <c r="D484" s="1">
        <f ca="1">IFERROR(__xludf.DUMMYFUNCTION("""COMPUTED_VALUE"""),2350.52)</f>
        <v>2350.52</v>
      </c>
      <c r="E484" s="1">
        <f ca="1">IFERROR(__xludf.DUMMYFUNCTION("""COMPUTED_VALUE"""),2352.95)</f>
        <v>2352.9499999999998</v>
      </c>
      <c r="F484" s="1">
        <f ca="1">IFERROR(__xludf.DUMMYFUNCTION("""COMPUTED_VALUE"""),1031056095)</f>
        <v>1031056095</v>
      </c>
    </row>
    <row r="485" spans="1:6" ht="13" x14ac:dyDescent="0.15">
      <c r="A485" s="2">
        <f ca="1">IFERROR(__xludf.DUMMYFUNCTION("""COMPUTED_VALUE"""),42831.6666666666)</f>
        <v>42831.666666666599</v>
      </c>
      <c r="B485" s="1">
        <f ca="1">IFERROR(__xludf.DUMMYFUNCTION("""COMPUTED_VALUE"""),2353.79)</f>
        <v>2353.79</v>
      </c>
      <c r="C485" s="1">
        <f ca="1">IFERROR(__xludf.DUMMYFUNCTION("""COMPUTED_VALUE"""),2364.16)</f>
        <v>2364.16</v>
      </c>
      <c r="D485" s="1">
        <f ca="1">IFERROR(__xludf.DUMMYFUNCTION("""COMPUTED_VALUE"""),2348.9)</f>
        <v>2348.9</v>
      </c>
      <c r="E485" s="1">
        <f ca="1">IFERROR(__xludf.DUMMYFUNCTION("""COMPUTED_VALUE"""),2357.49)</f>
        <v>2357.4899999999998</v>
      </c>
      <c r="F485" s="1">
        <f ca="1">IFERROR(__xludf.DUMMYFUNCTION("""COMPUTED_VALUE"""),863231831)</f>
        <v>863231831</v>
      </c>
    </row>
    <row r="486" spans="1:6" ht="13" x14ac:dyDescent="0.15">
      <c r="A486" s="2">
        <f ca="1">IFERROR(__xludf.DUMMYFUNCTION("""COMPUTED_VALUE"""),42832.6666666666)</f>
        <v>42832.666666666599</v>
      </c>
      <c r="B486" s="1">
        <f ca="1">IFERROR(__xludf.DUMMYFUNCTION("""COMPUTED_VALUE"""),2356.59)</f>
        <v>2356.59</v>
      </c>
      <c r="C486" s="1">
        <f ca="1">IFERROR(__xludf.DUMMYFUNCTION("""COMPUTED_VALUE"""),2363.76)</f>
        <v>2363.7600000000002</v>
      </c>
      <c r="D486" s="1">
        <f ca="1">IFERROR(__xludf.DUMMYFUNCTION("""COMPUTED_VALUE"""),2350.74)</f>
        <v>2350.7399999999998</v>
      </c>
      <c r="E486" s="1">
        <f ca="1">IFERROR(__xludf.DUMMYFUNCTION("""COMPUTED_VALUE"""),2355.54)</f>
        <v>2355.54</v>
      </c>
      <c r="F486" s="1">
        <f ca="1">IFERROR(__xludf.DUMMYFUNCTION("""COMPUTED_VALUE"""),656990521)</f>
        <v>656990521</v>
      </c>
    </row>
    <row r="487" spans="1:6" ht="13" x14ac:dyDescent="0.15">
      <c r="A487" s="2">
        <f ca="1">IFERROR(__xludf.DUMMYFUNCTION("""COMPUTED_VALUE"""),42835.6666666666)</f>
        <v>42835.666666666599</v>
      </c>
      <c r="B487" s="1">
        <f ca="1">IFERROR(__xludf.DUMMYFUNCTION("""COMPUTED_VALUE"""),2357.16)</f>
        <v>2357.16</v>
      </c>
      <c r="C487" s="1">
        <f ca="1">IFERROR(__xludf.DUMMYFUNCTION("""COMPUTED_VALUE"""),2366.37)</f>
        <v>2366.37</v>
      </c>
      <c r="D487" s="1">
        <f ca="1">IFERROR(__xludf.DUMMYFUNCTION("""COMPUTED_VALUE"""),2351.5)</f>
        <v>2351.5</v>
      </c>
      <c r="E487" s="1">
        <f ca="1">IFERROR(__xludf.DUMMYFUNCTION("""COMPUTED_VALUE"""),2357.16)</f>
        <v>2357.16</v>
      </c>
      <c r="F487" s="1">
        <f ca="1">IFERROR(__xludf.DUMMYFUNCTION("""COMPUTED_VALUE"""),546587089)</f>
        <v>546587089</v>
      </c>
    </row>
    <row r="488" spans="1:6" ht="13" x14ac:dyDescent="0.15">
      <c r="A488" s="2">
        <f ca="1">IFERROR(__xludf.DUMMYFUNCTION("""COMPUTED_VALUE"""),42836.6666666666)</f>
        <v>42836.666666666599</v>
      </c>
      <c r="B488" s="1">
        <f ca="1">IFERROR(__xludf.DUMMYFUNCTION("""COMPUTED_VALUE"""),2353.92)</f>
        <v>2353.92</v>
      </c>
      <c r="C488" s="1">
        <f ca="1">IFERROR(__xludf.DUMMYFUNCTION("""COMPUTED_VALUE"""),2355.22)</f>
        <v>2355.2199999999998</v>
      </c>
      <c r="D488" s="1">
        <f ca="1">IFERROR(__xludf.DUMMYFUNCTION("""COMPUTED_VALUE"""),2337.25)</f>
        <v>2337.25</v>
      </c>
      <c r="E488" s="1">
        <f ca="1">IFERROR(__xludf.DUMMYFUNCTION("""COMPUTED_VALUE"""),2353.78)</f>
        <v>2353.7800000000002</v>
      </c>
      <c r="F488" s="1">
        <f ca="1">IFERROR(__xludf.DUMMYFUNCTION("""COMPUTED_VALUE"""),743787790)</f>
        <v>743787790</v>
      </c>
    </row>
    <row r="489" spans="1:6" ht="13" x14ac:dyDescent="0.15">
      <c r="A489" s="2">
        <f ca="1">IFERROR(__xludf.DUMMYFUNCTION("""COMPUTED_VALUE"""),42837.6666666666)</f>
        <v>42837.666666666599</v>
      </c>
      <c r="B489" s="1">
        <f ca="1">IFERROR(__xludf.DUMMYFUNCTION("""COMPUTED_VALUE"""),2352.15)</f>
        <v>2352.15</v>
      </c>
      <c r="C489" s="1">
        <f ca="1">IFERROR(__xludf.DUMMYFUNCTION("""COMPUTED_VALUE"""),2352.72)</f>
        <v>2352.7199999999998</v>
      </c>
      <c r="D489" s="1">
        <f ca="1">IFERROR(__xludf.DUMMYFUNCTION("""COMPUTED_VALUE"""),2341.18)</f>
        <v>2341.1799999999998</v>
      </c>
      <c r="E489" s="1">
        <f ca="1">IFERROR(__xludf.DUMMYFUNCTION("""COMPUTED_VALUE"""),2344.93)</f>
        <v>2344.9299999999998</v>
      </c>
      <c r="F489" s="1">
        <f ca="1">IFERROR(__xludf.DUMMYFUNCTION("""COMPUTED_VALUE"""),824168461)</f>
        <v>824168461</v>
      </c>
    </row>
    <row r="490" spans="1:6" ht="13" x14ac:dyDescent="0.15">
      <c r="A490" s="2">
        <f ca="1">IFERROR(__xludf.DUMMYFUNCTION("""COMPUTED_VALUE"""),42838.6666666666)</f>
        <v>42838.666666666599</v>
      </c>
      <c r="B490" s="1">
        <f ca="1">IFERROR(__xludf.DUMMYFUNCTION("""COMPUTED_VALUE"""),2341.98)</f>
        <v>2341.98</v>
      </c>
      <c r="C490" s="1">
        <f ca="1">IFERROR(__xludf.DUMMYFUNCTION("""COMPUTED_VALUE"""),2348.26)</f>
        <v>2348.2600000000002</v>
      </c>
      <c r="D490" s="1">
        <f ca="1">IFERROR(__xludf.DUMMYFUNCTION("""COMPUTED_VALUE"""),2328.95)</f>
        <v>2328.9499999999998</v>
      </c>
      <c r="E490" s="1">
        <f ca="1">IFERROR(__xludf.DUMMYFUNCTION("""COMPUTED_VALUE"""),2328.95)</f>
        <v>2328.9499999999998</v>
      </c>
      <c r="F490" s="1">
        <f ca="1">IFERROR(__xludf.DUMMYFUNCTION("""COMPUTED_VALUE"""),691005538)</f>
        <v>691005538</v>
      </c>
    </row>
    <row r="491" spans="1:6" ht="13" x14ac:dyDescent="0.15">
      <c r="A491" s="2">
        <f ca="1">IFERROR(__xludf.DUMMYFUNCTION("""COMPUTED_VALUE"""),42842.6666666666)</f>
        <v>42842.666666666599</v>
      </c>
      <c r="B491" s="1">
        <f ca="1">IFERROR(__xludf.DUMMYFUNCTION("""COMPUTED_VALUE"""),2332.62)</f>
        <v>2332.62</v>
      </c>
      <c r="C491" s="1">
        <f ca="1">IFERROR(__xludf.DUMMYFUNCTION("""COMPUTED_VALUE"""),2349.14)</f>
        <v>2349.14</v>
      </c>
      <c r="D491" s="1">
        <f ca="1">IFERROR(__xludf.DUMMYFUNCTION("""COMPUTED_VALUE"""),2332.51)</f>
        <v>2332.5100000000002</v>
      </c>
      <c r="E491" s="1">
        <f ca="1">IFERROR(__xludf.DUMMYFUNCTION("""COMPUTED_VALUE"""),2349.01)</f>
        <v>2349.0100000000002</v>
      </c>
      <c r="F491" s="1">
        <f ca="1">IFERROR(__xludf.DUMMYFUNCTION("""COMPUTED_VALUE"""),552521898)</f>
        <v>552521898</v>
      </c>
    </row>
    <row r="492" spans="1:6" ht="13" x14ac:dyDescent="0.15">
      <c r="A492" s="2">
        <f ca="1">IFERROR(__xludf.DUMMYFUNCTION("""COMPUTED_VALUE"""),42843.6666666666)</f>
        <v>42843.666666666599</v>
      </c>
      <c r="B492" s="1">
        <f ca="1">IFERROR(__xludf.DUMMYFUNCTION("""COMPUTED_VALUE"""),2342.53)</f>
        <v>2342.5300000000002</v>
      </c>
      <c r="C492" s="1">
        <f ca="1">IFERROR(__xludf.DUMMYFUNCTION("""COMPUTED_VALUE"""),2348.35)</f>
        <v>2348.35</v>
      </c>
      <c r="D492" s="1">
        <f ca="1">IFERROR(__xludf.DUMMYFUNCTION("""COMPUTED_VALUE"""),2334.54)</f>
        <v>2334.54</v>
      </c>
      <c r="E492" s="1">
        <f ca="1">IFERROR(__xludf.DUMMYFUNCTION("""COMPUTED_VALUE"""),2342.19)</f>
        <v>2342.19</v>
      </c>
      <c r="F492" s="1">
        <f ca="1">IFERROR(__xludf.DUMMYFUNCTION("""COMPUTED_VALUE"""),829728921)</f>
        <v>829728921</v>
      </c>
    </row>
    <row r="493" spans="1:6" ht="13" x14ac:dyDescent="0.15">
      <c r="A493" s="2">
        <f ca="1">IFERROR(__xludf.DUMMYFUNCTION("""COMPUTED_VALUE"""),42844.6666666666)</f>
        <v>42844.666666666599</v>
      </c>
      <c r="B493" s="1">
        <f ca="1">IFERROR(__xludf.DUMMYFUNCTION("""COMPUTED_VALUE"""),2346.79)</f>
        <v>2346.79</v>
      </c>
      <c r="C493" s="1">
        <f ca="1">IFERROR(__xludf.DUMMYFUNCTION("""COMPUTED_VALUE"""),2352.63)</f>
        <v>2352.63</v>
      </c>
      <c r="D493" s="1">
        <f ca="1">IFERROR(__xludf.DUMMYFUNCTION("""COMPUTED_VALUE"""),2335.05)</f>
        <v>2335.0500000000002</v>
      </c>
      <c r="E493" s="1">
        <f ca="1">IFERROR(__xludf.DUMMYFUNCTION("""COMPUTED_VALUE"""),2338.17)</f>
        <v>2338.17</v>
      </c>
      <c r="F493" s="1">
        <f ca="1">IFERROR(__xludf.DUMMYFUNCTION("""COMPUTED_VALUE"""),873090926)</f>
        <v>873090926</v>
      </c>
    </row>
    <row r="494" spans="1:6" ht="13" x14ac:dyDescent="0.15">
      <c r="A494" s="2">
        <f ca="1">IFERROR(__xludf.DUMMYFUNCTION("""COMPUTED_VALUE"""),42845.6666666666)</f>
        <v>42845.666666666599</v>
      </c>
      <c r="B494" s="1">
        <f ca="1">IFERROR(__xludf.DUMMYFUNCTION("""COMPUTED_VALUE"""),2342.69)</f>
        <v>2342.69</v>
      </c>
      <c r="C494" s="1">
        <f ca="1">IFERROR(__xludf.DUMMYFUNCTION("""COMPUTED_VALUE"""),2361.37)</f>
        <v>2361.37</v>
      </c>
      <c r="D494" s="1">
        <f ca="1">IFERROR(__xludf.DUMMYFUNCTION("""COMPUTED_VALUE"""),2340.91)</f>
        <v>2340.91</v>
      </c>
      <c r="E494" s="1">
        <f ca="1">IFERROR(__xludf.DUMMYFUNCTION("""COMPUTED_VALUE"""),2355.84)</f>
        <v>2355.84</v>
      </c>
      <c r="F494" s="1">
        <f ca="1">IFERROR(__xludf.DUMMYFUNCTION("""COMPUTED_VALUE"""),1015974407)</f>
        <v>1015974407</v>
      </c>
    </row>
    <row r="495" spans="1:6" ht="13" x14ac:dyDescent="0.15">
      <c r="A495" s="2">
        <f ca="1">IFERROR(__xludf.DUMMYFUNCTION("""COMPUTED_VALUE"""),42846.6666666666)</f>
        <v>42846.666666666599</v>
      </c>
      <c r="B495" s="1">
        <f ca="1">IFERROR(__xludf.DUMMYFUNCTION("""COMPUTED_VALUE"""),2354.74)</f>
        <v>2354.7399999999998</v>
      </c>
      <c r="C495" s="1">
        <f ca="1">IFERROR(__xludf.DUMMYFUNCTION("""COMPUTED_VALUE"""),2356.18)</f>
        <v>2356.1799999999998</v>
      </c>
      <c r="D495" s="1">
        <f ca="1">IFERROR(__xludf.DUMMYFUNCTION("""COMPUTED_VALUE"""),2344.51)</f>
        <v>2344.5100000000002</v>
      </c>
      <c r="E495" s="1">
        <f ca="1">IFERROR(__xludf.DUMMYFUNCTION("""COMPUTED_VALUE"""),2348.69)</f>
        <v>2348.69</v>
      </c>
      <c r="F495" s="1">
        <f ca="1">IFERROR(__xludf.DUMMYFUNCTION("""COMPUTED_VALUE"""),2071759000)</f>
        <v>2071759000</v>
      </c>
    </row>
    <row r="496" spans="1:6" ht="13" x14ac:dyDescent="0.15">
      <c r="A496" s="2">
        <f ca="1">IFERROR(__xludf.DUMMYFUNCTION("""COMPUTED_VALUE"""),42849.6666666666)</f>
        <v>42849.666666666599</v>
      </c>
      <c r="B496" s="1">
        <f ca="1">IFERROR(__xludf.DUMMYFUNCTION("""COMPUTED_VALUE"""),2370.33)</f>
        <v>2370.33</v>
      </c>
      <c r="C496" s="1">
        <f ca="1">IFERROR(__xludf.DUMMYFUNCTION("""COMPUTED_VALUE"""),2376.98)</f>
        <v>2376.98</v>
      </c>
      <c r="D496" s="1">
        <f ca="1">IFERROR(__xludf.DUMMYFUNCTION("""COMPUTED_VALUE"""),2369.19)</f>
        <v>2369.19</v>
      </c>
      <c r="E496" s="1">
        <f ca="1">IFERROR(__xludf.DUMMYFUNCTION("""COMPUTED_VALUE"""),2374.15)</f>
        <v>2374.15</v>
      </c>
      <c r="F496" s="1">
        <f ca="1">IFERROR(__xludf.DUMMYFUNCTION("""COMPUTED_VALUE"""),2248662130)</f>
        <v>2248662130</v>
      </c>
    </row>
    <row r="497" spans="1:6" ht="13" x14ac:dyDescent="0.15">
      <c r="A497" s="2">
        <f ca="1">IFERROR(__xludf.DUMMYFUNCTION("""COMPUTED_VALUE"""),42850.6666666666)</f>
        <v>42850.666666666599</v>
      </c>
      <c r="B497" s="1">
        <f ca="1">IFERROR(__xludf.DUMMYFUNCTION("""COMPUTED_VALUE"""),2381.51)</f>
        <v>2381.5100000000002</v>
      </c>
      <c r="C497" s="1">
        <f ca="1">IFERROR(__xludf.DUMMYFUNCTION("""COMPUTED_VALUE"""),2392.48)</f>
        <v>2392.48</v>
      </c>
      <c r="D497" s="1">
        <f ca="1">IFERROR(__xludf.DUMMYFUNCTION("""COMPUTED_VALUE"""),2381.15)</f>
        <v>2381.15</v>
      </c>
      <c r="E497" s="1">
        <f ca="1">IFERROR(__xludf.DUMMYFUNCTION("""COMPUTED_VALUE"""),2388.61)</f>
        <v>2388.61</v>
      </c>
      <c r="F497" s="1">
        <f ca="1">IFERROR(__xludf.DUMMYFUNCTION("""COMPUTED_VALUE"""),2304916837)</f>
        <v>2304916837</v>
      </c>
    </row>
    <row r="498" spans="1:6" ht="13" x14ac:dyDescent="0.15">
      <c r="A498" s="2">
        <f ca="1">IFERROR(__xludf.DUMMYFUNCTION("""COMPUTED_VALUE"""),42851.6666666666)</f>
        <v>42851.666666666599</v>
      </c>
      <c r="B498" s="1">
        <f ca="1">IFERROR(__xludf.DUMMYFUNCTION("""COMPUTED_VALUE"""),2388.98)</f>
        <v>2388.98</v>
      </c>
      <c r="C498" s="1">
        <f ca="1">IFERROR(__xludf.DUMMYFUNCTION("""COMPUTED_VALUE"""),2398.16)</f>
        <v>2398.16</v>
      </c>
      <c r="D498" s="1">
        <f ca="1">IFERROR(__xludf.DUMMYFUNCTION("""COMPUTED_VALUE"""),2386.76)</f>
        <v>2386.7600000000002</v>
      </c>
      <c r="E498" s="1">
        <f ca="1">IFERROR(__xludf.DUMMYFUNCTION("""COMPUTED_VALUE"""),2387.45)</f>
        <v>2387.4499999999998</v>
      </c>
      <c r="F498" s="1">
        <f ca="1">IFERROR(__xludf.DUMMYFUNCTION("""COMPUTED_VALUE"""),2223615893)</f>
        <v>2223615893</v>
      </c>
    </row>
    <row r="499" spans="1:6" ht="13" x14ac:dyDescent="0.15">
      <c r="A499" s="2">
        <f ca="1">IFERROR(__xludf.DUMMYFUNCTION("""COMPUTED_VALUE"""),42852.6666666666)</f>
        <v>42852.666666666599</v>
      </c>
      <c r="B499" s="1">
        <f ca="1">IFERROR(__xludf.DUMMYFUNCTION("""COMPUTED_VALUE"""),2389.7)</f>
        <v>2389.6999999999998</v>
      </c>
      <c r="C499" s="1">
        <f ca="1">IFERROR(__xludf.DUMMYFUNCTION("""COMPUTED_VALUE"""),2392.1)</f>
        <v>2392.1</v>
      </c>
      <c r="D499" s="1">
        <f ca="1">IFERROR(__xludf.DUMMYFUNCTION("""COMPUTED_VALUE"""),2382.68)</f>
        <v>2382.6799999999998</v>
      </c>
      <c r="E499" s="1">
        <f ca="1">IFERROR(__xludf.DUMMYFUNCTION("""COMPUTED_VALUE"""),2388.77)</f>
        <v>2388.77</v>
      </c>
      <c r="F499" s="1">
        <f ca="1">IFERROR(__xludf.DUMMYFUNCTION("""COMPUTED_VALUE"""),2205559179)</f>
        <v>2205559179</v>
      </c>
    </row>
    <row r="500" spans="1:6" ht="13" x14ac:dyDescent="0.15">
      <c r="A500" s="2">
        <f ca="1">IFERROR(__xludf.DUMMYFUNCTION("""COMPUTED_VALUE"""),42853.6666666666)</f>
        <v>42853.666666666599</v>
      </c>
      <c r="B500" s="1">
        <f ca="1">IFERROR(__xludf.DUMMYFUNCTION("""COMPUTED_VALUE"""),2393.68)</f>
        <v>2393.6799999999998</v>
      </c>
      <c r="C500" s="1">
        <f ca="1">IFERROR(__xludf.DUMMYFUNCTION("""COMPUTED_VALUE"""),2393.68)</f>
        <v>2393.6799999999998</v>
      </c>
      <c r="D500" s="1">
        <f ca="1">IFERROR(__xludf.DUMMYFUNCTION("""COMPUTED_VALUE"""),2382.36)</f>
        <v>2382.36</v>
      </c>
      <c r="E500" s="1">
        <f ca="1">IFERROR(__xludf.DUMMYFUNCTION("""COMPUTED_VALUE"""),2384.2)</f>
        <v>2384.1999999999998</v>
      </c>
      <c r="F500" s="1">
        <f ca="1">IFERROR(__xludf.DUMMYFUNCTION("""COMPUTED_VALUE"""),2239464723)</f>
        <v>2239464723</v>
      </c>
    </row>
    <row r="501" spans="1:6" ht="13" x14ac:dyDescent="0.15">
      <c r="A501" s="2">
        <f ca="1">IFERROR(__xludf.DUMMYFUNCTION("""COMPUTED_VALUE"""),42856.6666666666)</f>
        <v>42856.666666666599</v>
      </c>
      <c r="B501" s="1">
        <f ca="1">IFERROR(__xludf.DUMMYFUNCTION("""COMPUTED_VALUE"""),2388.5)</f>
        <v>2388.5</v>
      </c>
      <c r="C501" s="1">
        <f ca="1">IFERROR(__xludf.DUMMYFUNCTION("""COMPUTED_VALUE"""),2394.49)</f>
        <v>2394.4899999999998</v>
      </c>
      <c r="D501" s="1">
        <f ca="1">IFERROR(__xludf.DUMMYFUNCTION("""COMPUTED_VALUE"""),2384.83)</f>
        <v>2384.83</v>
      </c>
      <c r="E501" s="1">
        <f ca="1">IFERROR(__xludf.DUMMYFUNCTION("""COMPUTED_VALUE"""),2388.33)</f>
        <v>2388.33</v>
      </c>
      <c r="F501" s="1">
        <f ca="1">IFERROR(__xludf.DUMMYFUNCTION("""COMPUTED_VALUE"""),819261658)</f>
        <v>819261658</v>
      </c>
    </row>
    <row r="502" spans="1:6" ht="13" x14ac:dyDescent="0.15">
      <c r="A502" s="2">
        <f ca="1">IFERROR(__xludf.DUMMYFUNCTION("""COMPUTED_VALUE"""),42857.6666666666)</f>
        <v>42857.666666666599</v>
      </c>
      <c r="B502" s="1">
        <f ca="1">IFERROR(__xludf.DUMMYFUNCTION("""COMPUTED_VALUE"""),2391.05)</f>
        <v>2391.0500000000002</v>
      </c>
      <c r="C502" s="1">
        <f ca="1">IFERROR(__xludf.DUMMYFUNCTION("""COMPUTED_VALUE"""),2392.93)</f>
        <v>2392.9299999999998</v>
      </c>
      <c r="D502" s="1">
        <f ca="1">IFERROR(__xludf.DUMMYFUNCTION("""COMPUTED_VALUE"""),2385.82)</f>
        <v>2385.8200000000002</v>
      </c>
      <c r="E502" s="1">
        <f ca="1">IFERROR(__xludf.DUMMYFUNCTION("""COMPUTED_VALUE"""),2391.17)</f>
        <v>2391.17</v>
      </c>
      <c r="F502" s="1">
        <f ca="1">IFERROR(__xludf.DUMMYFUNCTION("""COMPUTED_VALUE"""),2371688652)</f>
        <v>2371688652</v>
      </c>
    </row>
    <row r="503" spans="1:6" ht="13" x14ac:dyDescent="0.15">
      <c r="A503" s="2">
        <f ca="1">IFERROR(__xludf.DUMMYFUNCTION("""COMPUTED_VALUE"""),42858.6666666666)</f>
        <v>42858.666666666599</v>
      </c>
      <c r="B503" s="1">
        <f ca="1">IFERROR(__xludf.DUMMYFUNCTION("""COMPUTED_VALUE"""),2386.5)</f>
        <v>2386.5</v>
      </c>
      <c r="C503" s="1">
        <f ca="1">IFERROR(__xludf.DUMMYFUNCTION("""COMPUTED_VALUE"""),2389.82)</f>
        <v>2389.8200000000002</v>
      </c>
      <c r="D503" s="1">
        <f ca="1">IFERROR(__xludf.DUMMYFUNCTION("""COMPUTED_VALUE"""),2379.75)</f>
        <v>2379.75</v>
      </c>
      <c r="E503" s="1">
        <f ca="1">IFERROR(__xludf.DUMMYFUNCTION("""COMPUTED_VALUE"""),2388.13)</f>
        <v>2388.13</v>
      </c>
      <c r="F503" s="1">
        <f ca="1">IFERROR(__xludf.DUMMYFUNCTION("""COMPUTED_VALUE"""),2270224276)</f>
        <v>2270224276</v>
      </c>
    </row>
    <row r="504" spans="1:6" ht="13" x14ac:dyDescent="0.15">
      <c r="A504" s="2">
        <f ca="1">IFERROR(__xludf.DUMMYFUNCTION("""COMPUTED_VALUE"""),42859.6666666666)</f>
        <v>42859.666666666599</v>
      </c>
      <c r="B504" s="1">
        <f ca="1">IFERROR(__xludf.DUMMYFUNCTION("""COMPUTED_VALUE"""),2389.79)</f>
        <v>2389.79</v>
      </c>
      <c r="C504" s="1">
        <f ca="1">IFERROR(__xludf.DUMMYFUNCTION("""COMPUTED_VALUE"""),2391.43)</f>
        <v>2391.4299999999998</v>
      </c>
      <c r="D504" s="1">
        <f ca="1">IFERROR(__xludf.DUMMYFUNCTION("""COMPUTED_VALUE"""),2380.35)</f>
        <v>2380.35</v>
      </c>
      <c r="E504" s="1">
        <f ca="1">IFERROR(__xludf.DUMMYFUNCTION("""COMPUTED_VALUE"""),2389.52)</f>
        <v>2389.52</v>
      </c>
      <c r="F504" s="1">
        <f ca="1">IFERROR(__xludf.DUMMYFUNCTION("""COMPUTED_VALUE"""),2236620277)</f>
        <v>2236620277</v>
      </c>
    </row>
    <row r="505" spans="1:6" ht="13" x14ac:dyDescent="0.15">
      <c r="A505" s="2">
        <f ca="1">IFERROR(__xludf.DUMMYFUNCTION("""COMPUTED_VALUE"""),42860.6666666666)</f>
        <v>42860.666666666599</v>
      </c>
      <c r="B505" s="1">
        <f ca="1">IFERROR(__xludf.DUMMYFUNCTION("""COMPUTED_VALUE"""),2392.37)</f>
        <v>2392.37</v>
      </c>
      <c r="C505" s="1">
        <f ca="1">IFERROR(__xludf.DUMMYFUNCTION("""COMPUTED_VALUE"""),2399.29)</f>
        <v>2399.29</v>
      </c>
      <c r="D505" s="1">
        <f ca="1">IFERROR(__xludf.DUMMYFUNCTION("""COMPUTED_VALUE"""),2389.38)</f>
        <v>2389.38</v>
      </c>
      <c r="E505" s="1">
        <f ca="1">IFERROR(__xludf.DUMMYFUNCTION("""COMPUTED_VALUE"""),2399.29)</f>
        <v>2399.29</v>
      </c>
      <c r="F505" s="1">
        <f ca="1">IFERROR(__xludf.DUMMYFUNCTION("""COMPUTED_VALUE"""),750048053)</f>
        <v>750048053</v>
      </c>
    </row>
    <row r="506" spans="1:6" ht="13" x14ac:dyDescent="0.15">
      <c r="A506" s="2">
        <f ca="1">IFERROR(__xludf.DUMMYFUNCTION("""COMPUTED_VALUE"""),42863.6666666666)</f>
        <v>42863.666666666599</v>
      </c>
      <c r="B506" s="1">
        <f ca="1">IFERROR(__xludf.DUMMYFUNCTION("""COMPUTED_VALUE"""),2399.94)</f>
        <v>2399.94</v>
      </c>
      <c r="C506" s="1">
        <f ca="1">IFERROR(__xludf.DUMMYFUNCTION("""COMPUTED_VALUE"""),2401.36)</f>
        <v>2401.36</v>
      </c>
      <c r="D506" s="1">
        <f ca="1">IFERROR(__xludf.DUMMYFUNCTION("""COMPUTED_VALUE"""),2393.92)</f>
        <v>2393.92</v>
      </c>
      <c r="E506" s="1">
        <f ca="1">IFERROR(__xludf.DUMMYFUNCTION("""COMPUTED_VALUE"""),2399.38)</f>
        <v>2399.38</v>
      </c>
      <c r="F506" s="1">
        <f ca="1">IFERROR(__xludf.DUMMYFUNCTION("""COMPUTED_VALUE"""),1845375125)</f>
        <v>1845375125</v>
      </c>
    </row>
    <row r="507" spans="1:6" ht="13" x14ac:dyDescent="0.15">
      <c r="A507" s="2">
        <f ca="1">IFERROR(__xludf.DUMMYFUNCTION("""COMPUTED_VALUE"""),42864.6666666666)</f>
        <v>42864.666666666599</v>
      </c>
      <c r="B507" s="1">
        <f ca="1">IFERROR(__xludf.DUMMYFUNCTION("""COMPUTED_VALUE"""),2401.58)</f>
        <v>2401.58</v>
      </c>
      <c r="C507" s="1">
        <f ca="1">IFERROR(__xludf.DUMMYFUNCTION("""COMPUTED_VALUE"""),2403.87)</f>
        <v>2403.87</v>
      </c>
      <c r="D507" s="1">
        <f ca="1">IFERROR(__xludf.DUMMYFUNCTION("""COMPUTED_VALUE"""),2392.44)</f>
        <v>2392.44</v>
      </c>
      <c r="E507" s="1">
        <f ca="1">IFERROR(__xludf.DUMMYFUNCTION("""COMPUTED_VALUE"""),2396.92)</f>
        <v>2396.92</v>
      </c>
      <c r="F507" s="1">
        <f ca="1">IFERROR(__xludf.DUMMYFUNCTION("""COMPUTED_VALUE"""),1855962757)</f>
        <v>1855962757</v>
      </c>
    </row>
    <row r="508" spans="1:6" ht="13" x14ac:dyDescent="0.15">
      <c r="A508" s="2">
        <f ca="1">IFERROR(__xludf.DUMMYFUNCTION("""COMPUTED_VALUE"""),42865.6666666666)</f>
        <v>42865.666666666599</v>
      </c>
      <c r="B508" s="1">
        <f ca="1">IFERROR(__xludf.DUMMYFUNCTION("""COMPUTED_VALUE"""),2396.79)</f>
        <v>2396.79</v>
      </c>
      <c r="C508" s="1">
        <f ca="1">IFERROR(__xludf.DUMMYFUNCTION("""COMPUTED_VALUE"""),2399.74)</f>
        <v>2399.7399999999998</v>
      </c>
      <c r="D508" s="1">
        <f ca="1">IFERROR(__xludf.DUMMYFUNCTION("""COMPUTED_VALUE"""),2392.79)</f>
        <v>2392.79</v>
      </c>
      <c r="E508" s="1">
        <f ca="1">IFERROR(__xludf.DUMMYFUNCTION("""COMPUTED_VALUE"""),2399.63)</f>
        <v>2399.63</v>
      </c>
      <c r="F508" s="1">
        <f ca="1">IFERROR(__xludf.DUMMYFUNCTION("""COMPUTED_VALUE"""),1985193441)</f>
        <v>1985193441</v>
      </c>
    </row>
    <row r="509" spans="1:6" ht="13" x14ac:dyDescent="0.15">
      <c r="A509" s="2">
        <f ca="1">IFERROR(__xludf.DUMMYFUNCTION("""COMPUTED_VALUE"""),42866.6666666666)</f>
        <v>42866.666666666599</v>
      </c>
      <c r="B509" s="1">
        <f ca="1">IFERROR(__xludf.DUMMYFUNCTION("""COMPUTED_VALUE"""),2394.84)</f>
        <v>2394.84</v>
      </c>
      <c r="C509" s="1">
        <f ca="1">IFERROR(__xludf.DUMMYFUNCTION("""COMPUTED_VALUE"""),2395.72)</f>
        <v>2395.7199999999998</v>
      </c>
      <c r="D509" s="1">
        <f ca="1">IFERROR(__xludf.DUMMYFUNCTION("""COMPUTED_VALUE"""),2381.74)</f>
        <v>2381.7399999999998</v>
      </c>
      <c r="E509" s="1">
        <f ca="1">IFERROR(__xludf.DUMMYFUNCTION("""COMPUTED_VALUE"""),2394.44)</f>
        <v>2394.44</v>
      </c>
      <c r="F509" s="1">
        <f ca="1">IFERROR(__xludf.DUMMYFUNCTION("""COMPUTED_VALUE"""),2024699568)</f>
        <v>2024699568</v>
      </c>
    </row>
    <row r="510" spans="1:6" ht="13" x14ac:dyDescent="0.15">
      <c r="A510" s="2">
        <f ca="1">IFERROR(__xludf.DUMMYFUNCTION("""COMPUTED_VALUE"""),42867.6666666666)</f>
        <v>42867.666666666599</v>
      </c>
      <c r="B510" s="1">
        <f ca="1">IFERROR(__xludf.DUMMYFUNCTION("""COMPUTED_VALUE"""),2392.44)</f>
        <v>2392.44</v>
      </c>
      <c r="C510" s="1">
        <f ca="1">IFERROR(__xludf.DUMMYFUNCTION("""COMPUTED_VALUE"""),2392.44)</f>
        <v>2392.44</v>
      </c>
      <c r="D510" s="1">
        <f ca="1">IFERROR(__xludf.DUMMYFUNCTION("""COMPUTED_VALUE"""),2387.19)</f>
        <v>2387.19</v>
      </c>
      <c r="E510" s="1">
        <f ca="1">IFERROR(__xludf.DUMMYFUNCTION("""COMPUTED_VALUE"""),2390.9)</f>
        <v>2390.9</v>
      </c>
      <c r="F510" s="1">
        <f ca="1">IFERROR(__xludf.DUMMYFUNCTION("""COMPUTED_VALUE"""),1786639028)</f>
        <v>1786639028</v>
      </c>
    </row>
    <row r="511" spans="1:6" ht="13" x14ac:dyDescent="0.15">
      <c r="A511" s="2">
        <f ca="1">IFERROR(__xludf.DUMMYFUNCTION("""COMPUTED_VALUE"""),42870.6666666666)</f>
        <v>42870.666666666599</v>
      </c>
      <c r="B511" s="1">
        <f ca="1">IFERROR(__xludf.DUMMYFUNCTION("""COMPUTED_VALUE"""),2393.98)</f>
        <v>2393.98</v>
      </c>
      <c r="C511" s="1">
        <f ca="1">IFERROR(__xludf.DUMMYFUNCTION("""COMPUTED_VALUE"""),2404.05)</f>
        <v>2404.0500000000002</v>
      </c>
      <c r="D511" s="1">
        <f ca="1">IFERROR(__xludf.DUMMYFUNCTION("""COMPUTED_VALUE"""),2393.94)</f>
        <v>2393.94</v>
      </c>
      <c r="E511" s="1">
        <f ca="1">IFERROR(__xludf.DUMMYFUNCTION("""COMPUTED_VALUE"""),2402.32)</f>
        <v>2402.3200000000002</v>
      </c>
      <c r="F511" s="1">
        <f ca="1">IFERROR(__xludf.DUMMYFUNCTION("""COMPUTED_VALUE"""),1896371278)</f>
        <v>1896371278</v>
      </c>
    </row>
    <row r="512" spans="1:6" ht="13" x14ac:dyDescent="0.15">
      <c r="A512" s="2">
        <f ca="1">IFERROR(__xludf.DUMMYFUNCTION("""COMPUTED_VALUE"""),42871.6666666666)</f>
        <v>42871.666666666599</v>
      </c>
      <c r="B512" s="1">
        <f ca="1">IFERROR(__xludf.DUMMYFUNCTION("""COMPUTED_VALUE"""),2404.55)</f>
        <v>2404.5500000000002</v>
      </c>
      <c r="C512" s="1">
        <f ca="1">IFERROR(__xludf.DUMMYFUNCTION("""COMPUTED_VALUE"""),2405.77)</f>
        <v>2405.77</v>
      </c>
      <c r="D512" s="1">
        <f ca="1">IFERROR(__xludf.DUMMYFUNCTION("""COMPUTED_VALUE"""),2396.05)</f>
        <v>2396.0500000000002</v>
      </c>
      <c r="E512" s="1">
        <f ca="1">IFERROR(__xludf.DUMMYFUNCTION("""COMPUTED_VALUE"""),2400.67)</f>
        <v>2400.67</v>
      </c>
      <c r="F512" s="1">
        <f ca="1">IFERROR(__xludf.DUMMYFUNCTION("""COMPUTED_VALUE"""),2039120191)</f>
        <v>2039120191</v>
      </c>
    </row>
    <row r="513" spans="1:6" ht="13" x14ac:dyDescent="0.15">
      <c r="A513" s="2">
        <f ca="1">IFERROR(__xludf.DUMMYFUNCTION("""COMPUTED_VALUE"""),42872.6666666666)</f>
        <v>42872.666666666599</v>
      </c>
      <c r="B513" s="1">
        <f ca="1">IFERROR(__xludf.DUMMYFUNCTION("""COMPUTED_VALUE"""),2382.95)</f>
        <v>2382.9499999999998</v>
      </c>
      <c r="C513" s="1">
        <f ca="1">IFERROR(__xludf.DUMMYFUNCTION("""COMPUTED_VALUE"""),2384.87)</f>
        <v>2384.87</v>
      </c>
      <c r="D513" s="1">
        <f ca="1">IFERROR(__xludf.DUMMYFUNCTION("""COMPUTED_VALUE"""),2356.21)</f>
        <v>2356.21</v>
      </c>
      <c r="E513" s="1">
        <f ca="1">IFERROR(__xludf.DUMMYFUNCTION("""COMPUTED_VALUE"""),2357.03)</f>
        <v>2357.0300000000002</v>
      </c>
      <c r="F513" s="1">
        <f ca="1">IFERROR(__xludf.DUMMYFUNCTION("""COMPUTED_VALUE"""),2717638993)</f>
        <v>2717638993</v>
      </c>
    </row>
    <row r="514" spans="1:6" ht="13" x14ac:dyDescent="0.15">
      <c r="A514" s="2">
        <f ca="1">IFERROR(__xludf.DUMMYFUNCTION("""COMPUTED_VALUE"""),42873.6666666666)</f>
        <v>42873.666666666599</v>
      </c>
      <c r="B514" s="1">
        <f ca="1">IFERROR(__xludf.DUMMYFUNCTION("""COMPUTED_VALUE"""),2354.69)</f>
        <v>2354.69</v>
      </c>
      <c r="C514" s="1">
        <f ca="1">IFERROR(__xludf.DUMMYFUNCTION("""COMPUTED_VALUE"""),2375.74)</f>
        <v>2375.7399999999998</v>
      </c>
      <c r="D514" s="1">
        <f ca="1">IFERROR(__xludf.DUMMYFUNCTION("""COMPUTED_VALUE"""),2352.72)</f>
        <v>2352.7199999999998</v>
      </c>
      <c r="E514" s="1">
        <f ca="1">IFERROR(__xludf.DUMMYFUNCTION("""COMPUTED_VALUE"""),2365.72)</f>
        <v>2365.7199999999998</v>
      </c>
      <c r="F514" s="1">
        <f ca="1">IFERROR(__xludf.DUMMYFUNCTION("""COMPUTED_VALUE"""),2308543266)</f>
        <v>2308543266</v>
      </c>
    </row>
    <row r="515" spans="1:6" ht="13" x14ac:dyDescent="0.15">
      <c r="A515" s="2">
        <f ca="1">IFERROR(__xludf.DUMMYFUNCTION("""COMPUTED_VALUE"""),42874.6666666666)</f>
        <v>42874.666666666599</v>
      </c>
      <c r="B515" s="1">
        <f ca="1">IFERROR(__xludf.DUMMYFUNCTION("""COMPUTED_VALUE"""),2371.37)</f>
        <v>2371.37</v>
      </c>
      <c r="C515" s="1">
        <f ca="1">IFERROR(__xludf.DUMMYFUNCTION("""COMPUTED_VALUE"""),2389.06)</f>
        <v>2389.06</v>
      </c>
      <c r="D515" s="1">
        <f ca="1">IFERROR(__xludf.DUMMYFUNCTION("""COMPUTED_VALUE"""),2370.43)</f>
        <v>2370.4299999999998</v>
      </c>
      <c r="E515" s="1">
        <f ca="1">IFERROR(__xludf.DUMMYFUNCTION("""COMPUTED_VALUE"""),2381.73)</f>
        <v>2381.73</v>
      </c>
      <c r="F515" s="1">
        <f ca="1">IFERROR(__xludf.DUMMYFUNCTION("""COMPUTED_VALUE"""),2249727653)</f>
        <v>2249727653</v>
      </c>
    </row>
    <row r="516" spans="1:6" ht="13" x14ac:dyDescent="0.15">
      <c r="A516" s="2">
        <f ca="1">IFERROR(__xludf.DUMMYFUNCTION("""COMPUTED_VALUE"""),42877.6666666666)</f>
        <v>42877.666666666599</v>
      </c>
      <c r="B516" s="1">
        <f ca="1">IFERROR(__xludf.DUMMYFUNCTION("""COMPUTED_VALUE"""),2387.21)</f>
        <v>2387.21</v>
      </c>
      <c r="C516" s="1">
        <f ca="1">IFERROR(__xludf.DUMMYFUNCTION("""COMPUTED_VALUE"""),2395.46)</f>
        <v>2395.46</v>
      </c>
      <c r="D516" s="1">
        <f ca="1">IFERROR(__xludf.DUMMYFUNCTION("""COMPUTED_VALUE"""),2386.92)</f>
        <v>2386.92</v>
      </c>
      <c r="E516" s="1">
        <f ca="1">IFERROR(__xludf.DUMMYFUNCTION("""COMPUTED_VALUE"""),2394.02)</f>
        <v>2394.02</v>
      </c>
      <c r="F516" s="1">
        <f ca="1">IFERROR(__xludf.DUMMYFUNCTION("""COMPUTED_VALUE"""),1858438550)</f>
        <v>1858438550</v>
      </c>
    </row>
    <row r="517" spans="1:6" ht="13" x14ac:dyDescent="0.15">
      <c r="A517" s="2">
        <f ca="1">IFERROR(__xludf.DUMMYFUNCTION("""COMPUTED_VALUE"""),42878.6666666666)</f>
        <v>42878.666666666599</v>
      </c>
      <c r="B517" s="1">
        <f ca="1">IFERROR(__xludf.DUMMYFUNCTION("""COMPUTED_VALUE"""),2397.04)</f>
        <v>2397.04</v>
      </c>
      <c r="C517" s="1">
        <f ca="1">IFERROR(__xludf.DUMMYFUNCTION("""COMPUTED_VALUE"""),2400.85)</f>
        <v>2400.85</v>
      </c>
      <c r="D517" s="1">
        <f ca="1">IFERROR(__xludf.DUMMYFUNCTION("""COMPUTED_VALUE"""),2393.88)</f>
        <v>2393.88</v>
      </c>
      <c r="E517" s="1">
        <f ca="1">IFERROR(__xludf.DUMMYFUNCTION("""COMPUTED_VALUE"""),2398.42)</f>
        <v>2398.42</v>
      </c>
      <c r="F517" s="1">
        <f ca="1">IFERROR(__xludf.DUMMYFUNCTION("""COMPUTED_VALUE"""),1770956038)</f>
        <v>1770956038</v>
      </c>
    </row>
    <row r="518" spans="1:6" ht="13" x14ac:dyDescent="0.15">
      <c r="A518" s="2">
        <f ca="1">IFERROR(__xludf.DUMMYFUNCTION("""COMPUTED_VALUE"""),42879.6666666666)</f>
        <v>42879.666666666599</v>
      </c>
      <c r="B518" s="1">
        <f ca="1">IFERROR(__xludf.DUMMYFUNCTION("""COMPUTED_VALUE"""),2401.41)</f>
        <v>2401.41</v>
      </c>
      <c r="C518" s="1">
        <f ca="1">IFERROR(__xludf.DUMMYFUNCTION("""COMPUTED_VALUE"""),2405.58)</f>
        <v>2405.58</v>
      </c>
      <c r="D518" s="1">
        <f ca="1">IFERROR(__xludf.DUMMYFUNCTION("""COMPUTED_VALUE"""),2397.99)</f>
        <v>2397.9899999999998</v>
      </c>
      <c r="E518" s="1">
        <f ca="1">IFERROR(__xludf.DUMMYFUNCTION("""COMPUTED_VALUE"""),2404.39)</f>
        <v>2404.39</v>
      </c>
      <c r="F518" s="1">
        <f ca="1">IFERROR(__xludf.DUMMYFUNCTION("""COMPUTED_VALUE"""),1797590258)</f>
        <v>1797590258</v>
      </c>
    </row>
    <row r="519" spans="1:6" ht="13" x14ac:dyDescent="0.15">
      <c r="A519" s="2">
        <f ca="1">IFERROR(__xludf.DUMMYFUNCTION("""COMPUTED_VALUE"""),42880.6666666666)</f>
        <v>42880.666666666599</v>
      </c>
      <c r="B519" s="1">
        <f ca="1">IFERROR(__xludf.DUMMYFUNCTION("""COMPUTED_VALUE"""),2409.54)</f>
        <v>2409.54</v>
      </c>
      <c r="C519" s="1">
        <f ca="1">IFERROR(__xludf.DUMMYFUNCTION("""COMPUTED_VALUE"""),2418.71)</f>
        <v>2418.71</v>
      </c>
      <c r="D519" s="1">
        <f ca="1">IFERROR(__xludf.DUMMYFUNCTION("""COMPUTED_VALUE"""),2408.01)</f>
        <v>2408.0100000000002</v>
      </c>
      <c r="E519" s="1">
        <f ca="1">IFERROR(__xludf.DUMMYFUNCTION("""COMPUTED_VALUE"""),2415.07)</f>
        <v>2415.0700000000002</v>
      </c>
      <c r="F519" s="1">
        <f ca="1">IFERROR(__xludf.DUMMYFUNCTION("""COMPUTED_VALUE"""),2010590494)</f>
        <v>2010590494</v>
      </c>
    </row>
    <row r="520" spans="1:6" ht="13" x14ac:dyDescent="0.15">
      <c r="A520" s="2">
        <f ca="1">IFERROR(__xludf.DUMMYFUNCTION("""COMPUTED_VALUE"""),42881.6666666666)</f>
        <v>42881.666666666599</v>
      </c>
      <c r="B520" s="1">
        <f ca="1">IFERROR(__xludf.DUMMYFUNCTION("""COMPUTED_VALUE"""),2414.5)</f>
        <v>2414.5</v>
      </c>
      <c r="C520" s="1">
        <f ca="1">IFERROR(__xludf.DUMMYFUNCTION("""COMPUTED_VALUE"""),2416.68)</f>
        <v>2416.6799999999998</v>
      </c>
      <c r="D520" s="1">
        <f ca="1">IFERROR(__xludf.DUMMYFUNCTION("""COMPUTED_VALUE"""),2412.2)</f>
        <v>2412.1999999999998</v>
      </c>
      <c r="E520" s="1">
        <f ca="1">IFERROR(__xludf.DUMMYFUNCTION("""COMPUTED_VALUE"""),2415.82)</f>
        <v>2415.8200000000002</v>
      </c>
      <c r="F520" s="1">
        <f ca="1">IFERROR(__xludf.DUMMYFUNCTION("""COMPUTED_VALUE"""),1524512471)</f>
        <v>1524512471</v>
      </c>
    </row>
    <row r="521" spans="1:6" ht="13" x14ac:dyDescent="0.15">
      <c r="A521" s="2">
        <f ca="1">IFERROR(__xludf.DUMMYFUNCTION("""COMPUTED_VALUE"""),42885.6666666666)</f>
        <v>42885.666666666599</v>
      </c>
      <c r="B521" s="1">
        <f ca="1">IFERROR(__xludf.DUMMYFUNCTION("""COMPUTED_VALUE"""),2411.67)</f>
        <v>2411.67</v>
      </c>
      <c r="C521" s="1">
        <f ca="1">IFERROR(__xludf.DUMMYFUNCTION("""COMPUTED_VALUE"""),2415.26)</f>
        <v>2415.2600000000002</v>
      </c>
      <c r="D521" s="1">
        <f ca="1">IFERROR(__xludf.DUMMYFUNCTION("""COMPUTED_VALUE"""),2409.43)</f>
        <v>2409.4299999999998</v>
      </c>
      <c r="E521" s="1">
        <f ca="1">IFERROR(__xludf.DUMMYFUNCTION("""COMPUTED_VALUE"""),2412.91)</f>
        <v>2412.91</v>
      </c>
      <c r="F521" s="1">
        <f ca="1">IFERROR(__xludf.DUMMYFUNCTION("""COMPUTED_VALUE"""),1776698945)</f>
        <v>1776698945</v>
      </c>
    </row>
    <row r="522" spans="1:6" ht="13" x14ac:dyDescent="0.15">
      <c r="A522" s="2">
        <f ca="1">IFERROR(__xludf.DUMMYFUNCTION("""COMPUTED_VALUE"""),42886.6666666666)</f>
        <v>42886.666666666599</v>
      </c>
      <c r="B522" s="1">
        <f ca="1">IFERROR(__xludf.DUMMYFUNCTION("""COMPUTED_VALUE"""),2415.63)</f>
        <v>2415.63</v>
      </c>
      <c r="C522" s="1">
        <f ca="1">IFERROR(__xludf.DUMMYFUNCTION("""COMPUTED_VALUE"""),2415.99)</f>
        <v>2415.9899999999998</v>
      </c>
      <c r="D522" s="1">
        <f ca="1">IFERROR(__xludf.DUMMYFUNCTION("""COMPUTED_VALUE"""),2403.59)</f>
        <v>2403.59</v>
      </c>
      <c r="E522" s="1">
        <f ca="1">IFERROR(__xludf.DUMMYFUNCTION("""COMPUTED_VALUE"""),2411.8)</f>
        <v>2411.8000000000002</v>
      </c>
      <c r="F522" s="1">
        <f ca="1">IFERROR(__xludf.DUMMYFUNCTION("""COMPUTED_VALUE"""),2610801638)</f>
        <v>2610801638</v>
      </c>
    </row>
    <row r="523" spans="1:6" ht="13" x14ac:dyDescent="0.15">
      <c r="A523" s="2">
        <f ca="1">IFERROR(__xludf.DUMMYFUNCTION("""COMPUTED_VALUE"""),42887.6666666666)</f>
        <v>42887.666666666599</v>
      </c>
      <c r="B523" s="1">
        <f ca="1">IFERROR(__xludf.DUMMYFUNCTION("""COMPUTED_VALUE"""),2415.65)</f>
        <v>2415.65</v>
      </c>
      <c r="C523" s="1">
        <f ca="1">IFERROR(__xludf.DUMMYFUNCTION("""COMPUTED_VALUE"""),2430.06)</f>
        <v>2430.06</v>
      </c>
      <c r="D523" s="1">
        <f ca="1">IFERROR(__xludf.DUMMYFUNCTION("""COMPUTED_VALUE"""),2413.54)</f>
        <v>2413.54</v>
      </c>
      <c r="E523" s="1">
        <f ca="1">IFERROR(__xludf.DUMMYFUNCTION("""COMPUTED_VALUE"""),2430.06)</f>
        <v>2430.06</v>
      </c>
      <c r="F523" s="1">
        <f ca="1">IFERROR(__xludf.DUMMYFUNCTION("""COMPUTED_VALUE"""),2156064796)</f>
        <v>2156064796</v>
      </c>
    </row>
    <row r="524" spans="1:6" ht="13" x14ac:dyDescent="0.15">
      <c r="A524" s="2">
        <f ca="1">IFERROR(__xludf.DUMMYFUNCTION("""COMPUTED_VALUE"""),42888.6666666666)</f>
        <v>42888.666666666599</v>
      </c>
      <c r="B524" s="1">
        <f ca="1">IFERROR(__xludf.DUMMYFUNCTION("""COMPUTED_VALUE"""),2431.28)</f>
        <v>2431.2800000000002</v>
      </c>
      <c r="C524" s="1">
        <f ca="1">IFERROR(__xludf.DUMMYFUNCTION("""COMPUTED_VALUE"""),2440.23)</f>
        <v>2440.23</v>
      </c>
      <c r="D524" s="1">
        <f ca="1">IFERROR(__xludf.DUMMYFUNCTION("""COMPUTED_VALUE"""),2427.71)</f>
        <v>2427.71</v>
      </c>
      <c r="E524" s="1">
        <f ca="1">IFERROR(__xludf.DUMMYFUNCTION("""COMPUTED_VALUE"""),2439.07)</f>
        <v>2439.0700000000002</v>
      </c>
      <c r="F524" s="1">
        <f ca="1">IFERROR(__xludf.DUMMYFUNCTION("""COMPUTED_VALUE"""),2017388178)</f>
        <v>2017388178</v>
      </c>
    </row>
    <row r="525" spans="1:6" ht="13" x14ac:dyDescent="0.15">
      <c r="A525" s="2">
        <f ca="1">IFERROR(__xludf.DUMMYFUNCTION("""COMPUTED_VALUE"""),42891.6666666666)</f>
        <v>42891.666666666599</v>
      </c>
      <c r="B525" s="1">
        <f ca="1">IFERROR(__xludf.DUMMYFUNCTION("""COMPUTED_VALUE"""),2437.83)</f>
        <v>2437.83</v>
      </c>
      <c r="C525" s="1">
        <f ca="1">IFERROR(__xludf.DUMMYFUNCTION("""COMPUTED_VALUE"""),2439.55)</f>
        <v>2439.5500000000002</v>
      </c>
      <c r="D525" s="1">
        <f ca="1">IFERROR(__xludf.DUMMYFUNCTION("""COMPUTED_VALUE"""),2434.32)</f>
        <v>2434.3200000000002</v>
      </c>
      <c r="E525" s="1">
        <f ca="1">IFERROR(__xludf.DUMMYFUNCTION("""COMPUTED_VALUE"""),2436.1)</f>
        <v>2436.1</v>
      </c>
      <c r="F525" s="1">
        <f ca="1">IFERROR(__xludf.DUMMYFUNCTION("""COMPUTED_VALUE"""),1742362529)</f>
        <v>1742362529</v>
      </c>
    </row>
    <row r="526" spans="1:6" ht="13" x14ac:dyDescent="0.15">
      <c r="A526" s="2">
        <f ca="1">IFERROR(__xludf.DUMMYFUNCTION("""COMPUTED_VALUE"""),42892.6666666666)</f>
        <v>42892.666666666599</v>
      </c>
      <c r="B526" s="1">
        <f ca="1">IFERROR(__xludf.DUMMYFUNCTION("""COMPUTED_VALUE"""),2431.92)</f>
        <v>2431.92</v>
      </c>
      <c r="C526" s="1">
        <f ca="1">IFERROR(__xludf.DUMMYFUNCTION("""COMPUTED_VALUE"""),2436.21)</f>
        <v>2436.21</v>
      </c>
      <c r="D526" s="1">
        <f ca="1">IFERROR(__xludf.DUMMYFUNCTION("""COMPUTED_VALUE"""),2428.12)</f>
        <v>2428.12</v>
      </c>
      <c r="E526" s="1">
        <f ca="1">IFERROR(__xludf.DUMMYFUNCTION("""COMPUTED_VALUE"""),2429.33)</f>
        <v>2429.33</v>
      </c>
      <c r="F526" s="1">
        <f ca="1">IFERROR(__xludf.DUMMYFUNCTION("""COMPUTED_VALUE"""),1972388344)</f>
        <v>1972388344</v>
      </c>
    </row>
    <row r="527" spans="1:6" ht="13" x14ac:dyDescent="0.15">
      <c r="A527" s="2">
        <f ca="1">IFERROR(__xludf.DUMMYFUNCTION("""COMPUTED_VALUE"""),42893.6666666666)</f>
        <v>42893.666666666599</v>
      </c>
      <c r="B527" s="1">
        <f ca="1">IFERROR(__xludf.DUMMYFUNCTION("""COMPUTED_VALUE"""),2432.03)</f>
        <v>2432.0300000000002</v>
      </c>
      <c r="C527" s="1">
        <f ca="1">IFERROR(__xludf.DUMMYFUNCTION("""COMPUTED_VALUE"""),2435.28)</f>
        <v>2435.2800000000002</v>
      </c>
      <c r="D527" s="1">
        <f ca="1">IFERROR(__xludf.DUMMYFUNCTION("""COMPUTED_VALUE"""),2424.75)</f>
        <v>2424.75</v>
      </c>
      <c r="E527" s="1">
        <f ca="1">IFERROR(__xludf.DUMMYFUNCTION("""COMPUTED_VALUE"""),2433.14)</f>
        <v>2433.14</v>
      </c>
      <c r="F527" s="1">
        <f ca="1">IFERROR(__xludf.DUMMYFUNCTION("""COMPUTED_VALUE"""),2087405916)</f>
        <v>2087405916</v>
      </c>
    </row>
    <row r="528" spans="1:6" ht="13" x14ac:dyDescent="0.15">
      <c r="A528" s="2">
        <f ca="1">IFERROR(__xludf.DUMMYFUNCTION("""COMPUTED_VALUE"""),42894.6666666666)</f>
        <v>42894.666666666599</v>
      </c>
      <c r="B528" s="1">
        <f ca="1">IFERROR(__xludf.DUMMYFUNCTION("""COMPUTED_VALUE"""),2434.27)</f>
        <v>2434.27</v>
      </c>
      <c r="C528" s="1">
        <f ca="1">IFERROR(__xludf.DUMMYFUNCTION("""COMPUTED_VALUE"""),2439.27)</f>
        <v>2439.27</v>
      </c>
      <c r="D528" s="1">
        <f ca="1">IFERROR(__xludf.DUMMYFUNCTION("""COMPUTED_VALUE"""),2427.94)</f>
        <v>2427.94</v>
      </c>
      <c r="E528" s="1">
        <f ca="1">IFERROR(__xludf.DUMMYFUNCTION("""COMPUTED_VALUE"""),2433.79)</f>
        <v>2433.79</v>
      </c>
      <c r="F528" s="1">
        <f ca="1">IFERROR(__xludf.DUMMYFUNCTION("""COMPUTED_VALUE"""),2247662987)</f>
        <v>2247662987</v>
      </c>
    </row>
    <row r="529" spans="1:6" ht="13" x14ac:dyDescent="0.15">
      <c r="A529" s="2">
        <f ca="1">IFERROR(__xludf.DUMMYFUNCTION("""COMPUTED_VALUE"""),42895.6666666666)</f>
        <v>42895.666666666599</v>
      </c>
      <c r="B529" s="1">
        <f ca="1">IFERROR(__xludf.DUMMYFUNCTION("""COMPUTED_VALUE"""),2436.39)</f>
        <v>2436.39</v>
      </c>
      <c r="C529" s="1">
        <f ca="1">IFERROR(__xludf.DUMMYFUNCTION("""COMPUTED_VALUE"""),2446.2)</f>
        <v>2446.1999999999998</v>
      </c>
      <c r="D529" s="1">
        <f ca="1">IFERROR(__xludf.DUMMYFUNCTION("""COMPUTED_VALUE"""),2415.7)</f>
        <v>2415.6999999999998</v>
      </c>
      <c r="E529" s="1">
        <f ca="1">IFERROR(__xludf.DUMMYFUNCTION("""COMPUTED_VALUE"""),2431.77)</f>
        <v>2431.77</v>
      </c>
      <c r="F529" s="1">
        <f ca="1">IFERROR(__xludf.DUMMYFUNCTION("""COMPUTED_VALUE"""),2624857734)</f>
        <v>2624857734</v>
      </c>
    </row>
    <row r="530" spans="1:6" ht="13" x14ac:dyDescent="0.15">
      <c r="A530" s="2">
        <f ca="1">IFERROR(__xludf.DUMMYFUNCTION("""COMPUTED_VALUE"""),42898.6666666666)</f>
        <v>42898.666666666599</v>
      </c>
      <c r="B530" s="1">
        <f ca="1">IFERROR(__xludf.DUMMYFUNCTION("""COMPUTED_VALUE"""),2425.88)</f>
        <v>2425.88</v>
      </c>
      <c r="C530" s="1">
        <f ca="1">IFERROR(__xludf.DUMMYFUNCTION("""COMPUTED_VALUE"""),2430.38)</f>
        <v>2430.38</v>
      </c>
      <c r="D530" s="1">
        <f ca="1">IFERROR(__xludf.DUMMYFUNCTION("""COMPUTED_VALUE"""),2419.97)</f>
        <v>2419.9699999999998</v>
      </c>
      <c r="E530" s="1">
        <f ca="1">IFERROR(__xludf.DUMMYFUNCTION("""COMPUTED_VALUE"""),2429.39)</f>
        <v>2429.39</v>
      </c>
      <c r="F530" s="1">
        <f ca="1">IFERROR(__xludf.DUMMYFUNCTION("""COMPUTED_VALUE"""),2715835496)</f>
        <v>2715835496</v>
      </c>
    </row>
    <row r="531" spans="1:6" ht="13" x14ac:dyDescent="0.15">
      <c r="A531" s="2">
        <f ca="1">IFERROR(__xludf.DUMMYFUNCTION("""COMPUTED_VALUE"""),42899.6666666666)</f>
        <v>42899.666666666599</v>
      </c>
      <c r="B531" s="1">
        <f ca="1">IFERROR(__xludf.DUMMYFUNCTION("""COMPUTED_VALUE"""),2434.15)</f>
        <v>2434.15</v>
      </c>
      <c r="C531" s="1">
        <f ca="1">IFERROR(__xludf.DUMMYFUNCTION("""COMPUTED_VALUE"""),2441.49)</f>
        <v>2441.4899999999998</v>
      </c>
      <c r="D531" s="1">
        <f ca="1">IFERROR(__xludf.DUMMYFUNCTION("""COMPUTED_VALUE"""),2431.28)</f>
        <v>2431.2800000000002</v>
      </c>
      <c r="E531" s="1">
        <f ca="1">IFERROR(__xludf.DUMMYFUNCTION("""COMPUTED_VALUE"""),2440.35)</f>
        <v>2440.35</v>
      </c>
      <c r="F531" s="1">
        <f ca="1">IFERROR(__xludf.DUMMYFUNCTION("""COMPUTED_VALUE"""),2078679924)</f>
        <v>2078679924</v>
      </c>
    </row>
    <row r="532" spans="1:6" ht="13" x14ac:dyDescent="0.15">
      <c r="A532" s="2">
        <f ca="1">IFERROR(__xludf.DUMMYFUNCTION("""COMPUTED_VALUE"""),42900.6666666666)</f>
        <v>42900.666666666599</v>
      </c>
      <c r="B532" s="1">
        <f ca="1">IFERROR(__xludf.DUMMYFUNCTION("""COMPUTED_VALUE"""),2443.75)</f>
        <v>2443.75</v>
      </c>
      <c r="C532" s="1">
        <f ca="1">IFERROR(__xludf.DUMMYFUNCTION("""COMPUTED_VALUE"""),2443.75)</f>
        <v>2443.75</v>
      </c>
      <c r="D532" s="1">
        <f ca="1">IFERROR(__xludf.DUMMYFUNCTION("""COMPUTED_VALUE"""),2428.34)</f>
        <v>2428.34</v>
      </c>
      <c r="E532" s="1">
        <f ca="1">IFERROR(__xludf.DUMMYFUNCTION("""COMPUTED_VALUE"""),2437.92)</f>
        <v>2437.92</v>
      </c>
      <c r="F532" s="1">
        <f ca="1">IFERROR(__xludf.DUMMYFUNCTION("""COMPUTED_VALUE"""),2077560864)</f>
        <v>2077560864</v>
      </c>
    </row>
    <row r="533" spans="1:6" ht="13" x14ac:dyDescent="0.15">
      <c r="A533" s="2">
        <f ca="1">IFERROR(__xludf.DUMMYFUNCTION("""COMPUTED_VALUE"""),42901.6666666666)</f>
        <v>42901.666666666599</v>
      </c>
      <c r="B533" s="1">
        <f ca="1">IFERROR(__xludf.DUMMYFUNCTION("""COMPUTED_VALUE"""),2424.14)</f>
        <v>2424.14</v>
      </c>
      <c r="C533" s="1">
        <f ca="1">IFERROR(__xludf.DUMMYFUNCTION("""COMPUTED_VALUE"""),2433.95)</f>
        <v>2433.9499999999998</v>
      </c>
      <c r="D533" s="1">
        <f ca="1">IFERROR(__xludf.DUMMYFUNCTION("""COMPUTED_VALUE"""),2418.53)</f>
        <v>2418.5300000000002</v>
      </c>
      <c r="E533" s="1">
        <f ca="1">IFERROR(__xludf.DUMMYFUNCTION("""COMPUTED_VALUE"""),2432.46)</f>
        <v>2432.46</v>
      </c>
      <c r="F533" s="1">
        <f ca="1">IFERROR(__xludf.DUMMYFUNCTION("""COMPUTED_VALUE"""),2056413023)</f>
        <v>2056413023</v>
      </c>
    </row>
    <row r="534" spans="1:6" ht="13" x14ac:dyDescent="0.15">
      <c r="A534" s="2">
        <f ca="1">IFERROR(__xludf.DUMMYFUNCTION("""COMPUTED_VALUE"""),42902.6666666666)</f>
        <v>42902.666666666599</v>
      </c>
      <c r="B534" s="1">
        <f ca="1">IFERROR(__xludf.DUMMYFUNCTION("""COMPUTED_VALUE"""),2431.24)</f>
        <v>2431.2399999999998</v>
      </c>
      <c r="C534" s="1">
        <f ca="1">IFERROR(__xludf.DUMMYFUNCTION("""COMPUTED_VALUE"""),2433.15)</f>
        <v>2433.15</v>
      </c>
      <c r="D534" s="1">
        <f ca="1">IFERROR(__xludf.DUMMYFUNCTION("""COMPUTED_VALUE"""),2422.88)</f>
        <v>2422.88</v>
      </c>
      <c r="E534" s="1">
        <f ca="1">IFERROR(__xludf.DUMMYFUNCTION("""COMPUTED_VALUE"""),2433.15)</f>
        <v>2433.15</v>
      </c>
      <c r="F534" s="1">
        <f ca="1">IFERROR(__xludf.DUMMYFUNCTION("""COMPUTED_VALUE"""),3474905593)</f>
        <v>3474905593</v>
      </c>
    </row>
    <row r="535" spans="1:6" ht="13" x14ac:dyDescent="0.15">
      <c r="A535" s="2">
        <f ca="1">IFERROR(__xludf.DUMMYFUNCTION("""COMPUTED_VALUE"""),42905.6666666666)</f>
        <v>42905.666666666599</v>
      </c>
      <c r="B535" s="1">
        <f ca="1">IFERROR(__xludf.DUMMYFUNCTION("""COMPUTED_VALUE"""),2442.55)</f>
        <v>2442.5500000000002</v>
      </c>
      <c r="C535" s="1">
        <f ca="1">IFERROR(__xludf.DUMMYFUNCTION("""COMPUTED_VALUE"""),2453.82)</f>
        <v>2453.8200000000002</v>
      </c>
      <c r="D535" s="1">
        <f ca="1">IFERROR(__xludf.DUMMYFUNCTION("""COMPUTED_VALUE"""),2441.79)</f>
        <v>2441.79</v>
      </c>
      <c r="E535" s="1">
        <f ca="1">IFERROR(__xludf.DUMMYFUNCTION("""COMPUTED_VALUE"""),2453.46)</f>
        <v>2453.46</v>
      </c>
      <c r="F535" s="1">
        <f ca="1">IFERROR(__xludf.DUMMYFUNCTION("""COMPUTED_VALUE"""),1881642580)</f>
        <v>1881642580</v>
      </c>
    </row>
    <row r="536" spans="1:6" ht="13" x14ac:dyDescent="0.15">
      <c r="A536" s="2">
        <f ca="1">IFERROR(__xludf.DUMMYFUNCTION("""COMPUTED_VALUE"""),42906.6666666666)</f>
        <v>42906.666666666599</v>
      </c>
      <c r="B536" s="1">
        <f ca="1">IFERROR(__xludf.DUMMYFUNCTION("""COMPUTED_VALUE"""),2450.66)</f>
        <v>2450.66</v>
      </c>
      <c r="C536" s="1">
        <f ca="1">IFERROR(__xludf.DUMMYFUNCTION("""COMPUTED_VALUE"""),2450.66)</f>
        <v>2450.66</v>
      </c>
      <c r="D536" s="1">
        <f ca="1">IFERROR(__xludf.DUMMYFUNCTION("""COMPUTED_VALUE"""),2436.6)</f>
        <v>2436.6</v>
      </c>
      <c r="E536" s="1">
        <f ca="1">IFERROR(__xludf.DUMMYFUNCTION("""COMPUTED_VALUE"""),2437.03)</f>
        <v>2437.0300000000002</v>
      </c>
      <c r="F536" s="1">
        <f ca="1">IFERROR(__xludf.DUMMYFUNCTION("""COMPUTED_VALUE"""),1981272777)</f>
        <v>1981272777</v>
      </c>
    </row>
    <row r="537" spans="1:6" ht="13" x14ac:dyDescent="0.15">
      <c r="A537" s="2">
        <f ca="1">IFERROR(__xludf.DUMMYFUNCTION("""COMPUTED_VALUE"""),42907.6666666666)</f>
        <v>42907.666666666599</v>
      </c>
      <c r="B537" s="1">
        <f ca="1">IFERROR(__xludf.DUMMYFUNCTION("""COMPUTED_VALUE"""),2439.31)</f>
        <v>2439.31</v>
      </c>
      <c r="C537" s="1">
        <f ca="1">IFERROR(__xludf.DUMMYFUNCTION("""COMPUTED_VALUE"""),2442.23)</f>
        <v>2442.23</v>
      </c>
      <c r="D537" s="1">
        <f ca="1">IFERROR(__xludf.DUMMYFUNCTION("""COMPUTED_VALUE"""),2430.74)</f>
        <v>2430.7399999999998</v>
      </c>
      <c r="E537" s="1">
        <f ca="1">IFERROR(__xludf.DUMMYFUNCTION("""COMPUTED_VALUE"""),2435.61)</f>
        <v>2435.61</v>
      </c>
      <c r="F537" s="1">
        <f ca="1">IFERROR(__xludf.DUMMYFUNCTION("""COMPUTED_VALUE"""),2194972916)</f>
        <v>2194972916</v>
      </c>
    </row>
    <row r="538" spans="1:6" ht="13" x14ac:dyDescent="0.15">
      <c r="A538" s="2">
        <f ca="1">IFERROR(__xludf.DUMMYFUNCTION("""COMPUTED_VALUE"""),42908.6666666666)</f>
        <v>42908.666666666599</v>
      </c>
      <c r="B538" s="1">
        <f ca="1">IFERROR(__xludf.DUMMYFUNCTION("""COMPUTED_VALUE"""),2437.4)</f>
        <v>2437.4</v>
      </c>
      <c r="C538" s="1">
        <f ca="1">IFERROR(__xludf.DUMMYFUNCTION("""COMPUTED_VALUE"""),2441.62)</f>
        <v>2441.62</v>
      </c>
      <c r="D538" s="1">
        <f ca="1">IFERROR(__xludf.DUMMYFUNCTION("""COMPUTED_VALUE"""),2433.27)</f>
        <v>2433.27</v>
      </c>
      <c r="E538" s="1">
        <f ca="1">IFERROR(__xludf.DUMMYFUNCTION("""COMPUTED_VALUE"""),2434.5)</f>
        <v>2434.5</v>
      </c>
      <c r="F538" s="1">
        <f ca="1">IFERROR(__xludf.DUMMYFUNCTION("""COMPUTED_VALUE"""),1975028145)</f>
        <v>1975028145</v>
      </c>
    </row>
    <row r="539" spans="1:6" ht="13" x14ac:dyDescent="0.15">
      <c r="A539" s="2">
        <f ca="1">IFERROR(__xludf.DUMMYFUNCTION("""COMPUTED_VALUE"""),42909.6666666666)</f>
        <v>42909.666666666599</v>
      </c>
      <c r="B539" s="1">
        <f ca="1">IFERROR(__xludf.DUMMYFUNCTION("""COMPUTED_VALUE"""),2434.65)</f>
        <v>2434.65</v>
      </c>
      <c r="C539" s="1">
        <f ca="1">IFERROR(__xludf.DUMMYFUNCTION("""COMPUTED_VALUE"""),2441.4)</f>
        <v>2441.4</v>
      </c>
      <c r="D539" s="1">
        <f ca="1">IFERROR(__xludf.DUMMYFUNCTION("""COMPUTED_VALUE"""),2431.11)</f>
        <v>2431.11</v>
      </c>
      <c r="E539" s="1">
        <f ca="1">IFERROR(__xludf.DUMMYFUNCTION("""COMPUTED_VALUE"""),2438.3)</f>
        <v>2438.3000000000002</v>
      </c>
      <c r="F539" s="1">
        <f ca="1">IFERROR(__xludf.DUMMYFUNCTION("""COMPUTED_VALUE"""),2954290817)</f>
        <v>2954290817</v>
      </c>
    </row>
    <row r="540" spans="1:6" ht="13" x14ac:dyDescent="0.15">
      <c r="A540" s="2">
        <f ca="1">IFERROR(__xludf.DUMMYFUNCTION("""COMPUTED_VALUE"""),42912.6666666666)</f>
        <v>42912.666666666599</v>
      </c>
      <c r="B540" s="1">
        <f ca="1">IFERROR(__xludf.DUMMYFUNCTION("""COMPUTED_VALUE"""),2443.32)</f>
        <v>2443.3200000000002</v>
      </c>
      <c r="C540" s="1">
        <f ca="1">IFERROR(__xludf.DUMMYFUNCTION("""COMPUTED_VALUE"""),2450.42)</f>
        <v>2450.42</v>
      </c>
      <c r="D540" s="1">
        <f ca="1">IFERROR(__xludf.DUMMYFUNCTION("""COMPUTED_VALUE"""),2437.03)</f>
        <v>2437.0300000000002</v>
      </c>
      <c r="E540" s="1">
        <f ca="1">IFERROR(__xludf.DUMMYFUNCTION("""COMPUTED_VALUE"""),2439.07)</f>
        <v>2439.0700000000002</v>
      </c>
      <c r="F540" s="1">
        <f ca="1">IFERROR(__xludf.DUMMYFUNCTION("""COMPUTED_VALUE"""),1807411392)</f>
        <v>1807411392</v>
      </c>
    </row>
    <row r="541" spans="1:6" ht="13" x14ac:dyDescent="0.15">
      <c r="A541" s="2">
        <f ca="1">IFERROR(__xludf.DUMMYFUNCTION("""COMPUTED_VALUE"""),42913.6666666666)</f>
        <v>42913.666666666599</v>
      </c>
      <c r="B541" s="1">
        <f ca="1">IFERROR(__xludf.DUMMYFUNCTION("""COMPUTED_VALUE"""),2436.34)</f>
        <v>2436.34</v>
      </c>
      <c r="C541" s="1">
        <f ca="1">IFERROR(__xludf.DUMMYFUNCTION("""COMPUTED_VALUE"""),2440.15)</f>
        <v>2440.15</v>
      </c>
      <c r="D541" s="1">
        <f ca="1">IFERROR(__xludf.DUMMYFUNCTION("""COMPUTED_VALUE"""),2419.38)</f>
        <v>2419.38</v>
      </c>
      <c r="E541" s="1">
        <f ca="1">IFERROR(__xludf.DUMMYFUNCTION("""COMPUTED_VALUE"""),2419.38)</f>
        <v>2419.38</v>
      </c>
      <c r="F541" s="1">
        <f ca="1">IFERROR(__xludf.DUMMYFUNCTION("""COMPUTED_VALUE"""),2029472171)</f>
        <v>2029472171</v>
      </c>
    </row>
    <row r="542" spans="1:6" ht="13" x14ac:dyDescent="0.15">
      <c r="A542" s="2">
        <f ca="1">IFERROR(__xludf.DUMMYFUNCTION("""COMPUTED_VALUE"""),42914.6666666666)</f>
        <v>42914.666666666599</v>
      </c>
      <c r="B542" s="1">
        <f ca="1">IFERROR(__xludf.DUMMYFUNCTION("""COMPUTED_VALUE"""),2428.7)</f>
        <v>2428.6999999999998</v>
      </c>
      <c r="C542" s="1">
        <f ca="1">IFERROR(__xludf.DUMMYFUNCTION("""COMPUTED_VALUE"""),2442.97)</f>
        <v>2442.9699999999998</v>
      </c>
      <c r="D542" s="1">
        <f ca="1">IFERROR(__xludf.DUMMYFUNCTION("""COMPUTED_VALUE"""),2428.02)</f>
        <v>2428.02</v>
      </c>
      <c r="E542" s="1">
        <f ca="1">IFERROR(__xludf.DUMMYFUNCTION("""COMPUTED_VALUE"""),2440.69)</f>
        <v>2440.69</v>
      </c>
      <c r="F542" s="1">
        <f ca="1">IFERROR(__xludf.DUMMYFUNCTION("""COMPUTED_VALUE"""),1978838398)</f>
        <v>1978838398</v>
      </c>
    </row>
    <row r="543" spans="1:6" ht="13" x14ac:dyDescent="0.15">
      <c r="A543" s="2">
        <f ca="1">IFERROR(__xludf.DUMMYFUNCTION("""COMPUTED_VALUE"""),42915.6666666666)</f>
        <v>42915.666666666599</v>
      </c>
      <c r="B543" s="1">
        <f ca="1">IFERROR(__xludf.DUMMYFUNCTION("""COMPUTED_VALUE"""),2442.38)</f>
        <v>2442.38</v>
      </c>
      <c r="C543" s="1">
        <f ca="1">IFERROR(__xludf.DUMMYFUNCTION("""COMPUTED_VALUE"""),2442.73)</f>
        <v>2442.73</v>
      </c>
      <c r="D543" s="1">
        <f ca="1">IFERROR(__xludf.DUMMYFUNCTION("""COMPUTED_VALUE"""),2405.7)</f>
        <v>2405.6999999999998</v>
      </c>
      <c r="E543" s="1">
        <f ca="1">IFERROR(__xludf.DUMMYFUNCTION("""COMPUTED_VALUE"""),2419.7)</f>
        <v>2419.6999999999998</v>
      </c>
      <c r="F543" s="1">
        <f ca="1">IFERROR(__xludf.DUMMYFUNCTION("""COMPUTED_VALUE"""),2437153407)</f>
        <v>2437153407</v>
      </c>
    </row>
    <row r="544" spans="1:6" ht="13" x14ac:dyDescent="0.15">
      <c r="A544" s="2">
        <f ca="1">IFERROR(__xludf.DUMMYFUNCTION("""COMPUTED_VALUE"""),42916.6666666666)</f>
        <v>42916.666666666599</v>
      </c>
      <c r="B544" s="1">
        <f ca="1">IFERROR(__xludf.DUMMYFUNCTION("""COMPUTED_VALUE"""),2429.2)</f>
        <v>2429.1999999999998</v>
      </c>
      <c r="C544" s="1">
        <f ca="1">IFERROR(__xludf.DUMMYFUNCTION("""COMPUTED_VALUE"""),2432.71)</f>
        <v>2432.71</v>
      </c>
      <c r="D544" s="1">
        <f ca="1">IFERROR(__xludf.DUMMYFUNCTION("""COMPUTED_VALUE"""),2421.65)</f>
        <v>2421.65</v>
      </c>
      <c r="E544" s="1">
        <f ca="1">IFERROR(__xludf.DUMMYFUNCTION("""COMPUTED_VALUE"""),2423.41)</f>
        <v>2423.41</v>
      </c>
      <c r="F544" s="1">
        <f ca="1">IFERROR(__xludf.DUMMYFUNCTION("""COMPUTED_VALUE"""),2068473232)</f>
        <v>2068473232</v>
      </c>
    </row>
    <row r="545" spans="1:6" ht="13" x14ac:dyDescent="0.15">
      <c r="A545" s="2">
        <f ca="1">IFERROR(__xludf.DUMMYFUNCTION("""COMPUTED_VALUE"""),42919.6666666666)</f>
        <v>42919.666666666599</v>
      </c>
      <c r="B545" s="1">
        <f ca="1">IFERROR(__xludf.DUMMYFUNCTION("""COMPUTED_VALUE"""),2431.39)</f>
        <v>2431.39</v>
      </c>
      <c r="C545" s="1">
        <f ca="1">IFERROR(__xludf.DUMMYFUNCTION("""COMPUTED_VALUE"""),2439.17)</f>
        <v>2439.17</v>
      </c>
      <c r="D545" s="1">
        <f ca="1">IFERROR(__xludf.DUMMYFUNCTION("""COMPUTED_VALUE"""),2428.69)</f>
        <v>2428.69</v>
      </c>
      <c r="E545" s="1">
        <f ca="1">IFERROR(__xludf.DUMMYFUNCTION("""COMPUTED_VALUE"""),2429.01)</f>
        <v>2429.0100000000002</v>
      </c>
      <c r="F545" s="1">
        <f ca="1">IFERROR(__xludf.DUMMYFUNCTION("""COMPUTED_VALUE"""),1196618815)</f>
        <v>1196618815</v>
      </c>
    </row>
    <row r="546" spans="1:6" ht="13" x14ac:dyDescent="0.15">
      <c r="A546" s="2">
        <f ca="1">IFERROR(__xludf.DUMMYFUNCTION("""COMPUTED_VALUE"""),42921.6666666666)</f>
        <v>42921.666666666599</v>
      </c>
      <c r="B546" s="1">
        <f ca="1">IFERROR(__xludf.DUMMYFUNCTION("""COMPUTED_VALUE"""),2430.78)</f>
        <v>2430.7800000000002</v>
      </c>
      <c r="C546" s="1">
        <f ca="1">IFERROR(__xludf.DUMMYFUNCTION("""COMPUTED_VALUE"""),2434.9)</f>
        <v>2434.9</v>
      </c>
      <c r="D546" s="1">
        <f ca="1">IFERROR(__xludf.DUMMYFUNCTION("""COMPUTED_VALUE"""),2422.05)</f>
        <v>2422.0500000000002</v>
      </c>
      <c r="E546" s="1">
        <f ca="1">IFERROR(__xludf.DUMMYFUNCTION("""COMPUTED_VALUE"""),2432.54)</f>
        <v>2432.54</v>
      </c>
      <c r="F546" s="1">
        <f ca="1">IFERROR(__xludf.DUMMYFUNCTION("""COMPUTED_VALUE"""),2001771783)</f>
        <v>2001771783</v>
      </c>
    </row>
    <row r="547" spans="1:6" ht="13" x14ac:dyDescent="0.15">
      <c r="A547" s="2">
        <f ca="1">IFERROR(__xludf.DUMMYFUNCTION("""COMPUTED_VALUE"""),42922.6666666666)</f>
        <v>42922.666666666599</v>
      </c>
      <c r="B547" s="1">
        <f ca="1">IFERROR(__xludf.DUMMYFUNCTION("""COMPUTED_VALUE"""),2423.44)</f>
        <v>2423.44</v>
      </c>
      <c r="C547" s="1">
        <f ca="1">IFERROR(__xludf.DUMMYFUNCTION("""COMPUTED_VALUE"""),2424.28)</f>
        <v>2424.2800000000002</v>
      </c>
      <c r="D547" s="1">
        <f ca="1">IFERROR(__xludf.DUMMYFUNCTION("""COMPUTED_VALUE"""),2407.7)</f>
        <v>2407.6999999999998</v>
      </c>
      <c r="E547" s="1">
        <f ca="1">IFERROR(__xludf.DUMMYFUNCTION("""COMPUTED_VALUE"""),2409.75)</f>
        <v>2409.75</v>
      </c>
      <c r="F547" s="1">
        <f ca="1">IFERROR(__xludf.DUMMYFUNCTION("""COMPUTED_VALUE"""),2021300572)</f>
        <v>2021300572</v>
      </c>
    </row>
    <row r="548" spans="1:6" ht="13" x14ac:dyDescent="0.15">
      <c r="A548" s="2">
        <f ca="1">IFERROR(__xludf.DUMMYFUNCTION("""COMPUTED_VALUE"""),42923.6666666666)</f>
        <v>42923.666666666599</v>
      </c>
      <c r="B548" s="1">
        <f ca="1">IFERROR(__xludf.DUMMYFUNCTION("""COMPUTED_VALUE"""),2413.52)</f>
        <v>2413.52</v>
      </c>
      <c r="C548" s="1">
        <f ca="1">IFERROR(__xludf.DUMMYFUNCTION("""COMPUTED_VALUE"""),2426.92)</f>
        <v>2426.92</v>
      </c>
      <c r="D548" s="1">
        <f ca="1">IFERROR(__xludf.DUMMYFUNCTION("""COMPUTED_VALUE"""),2413.52)</f>
        <v>2413.52</v>
      </c>
      <c r="E548" s="1">
        <f ca="1">IFERROR(__xludf.DUMMYFUNCTION("""COMPUTED_VALUE"""),2425.18)</f>
        <v>2425.1799999999998</v>
      </c>
      <c r="F548" s="1">
        <f ca="1">IFERROR(__xludf.DUMMYFUNCTION("""COMPUTED_VALUE"""),1668167766)</f>
        <v>1668167766</v>
      </c>
    </row>
    <row r="549" spans="1:6" ht="13" x14ac:dyDescent="0.15">
      <c r="A549" s="2">
        <f ca="1">IFERROR(__xludf.DUMMYFUNCTION("""COMPUTED_VALUE"""),42926.6666666666)</f>
        <v>42926.666666666599</v>
      </c>
      <c r="B549" s="1">
        <f ca="1">IFERROR(__xludf.DUMMYFUNCTION("""COMPUTED_VALUE"""),2424.51)</f>
        <v>2424.5100000000002</v>
      </c>
      <c r="C549" s="1">
        <f ca="1">IFERROR(__xludf.DUMMYFUNCTION("""COMPUTED_VALUE"""),2432)</f>
        <v>2432</v>
      </c>
      <c r="D549" s="1">
        <f ca="1">IFERROR(__xludf.DUMMYFUNCTION("""COMPUTED_VALUE"""),2422.27)</f>
        <v>2422.27</v>
      </c>
      <c r="E549" s="1">
        <f ca="1">IFERROR(__xludf.DUMMYFUNCTION("""COMPUTED_VALUE"""),2427.43)</f>
        <v>2427.4299999999998</v>
      </c>
      <c r="F549" s="1">
        <f ca="1">IFERROR(__xludf.DUMMYFUNCTION("""COMPUTED_VALUE"""),1767990685)</f>
        <v>1767990685</v>
      </c>
    </row>
    <row r="550" spans="1:6" ht="13" x14ac:dyDescent="0.15">
      <c r="A550" s="2">
        <f ca="1">IFERROR(__xludf.DUMMYFUNCTION("""COMPUTED_VALUE"""),42927.6666666666)</f>
        <v>42927.666666666599</v>
      </c>
      <c r="B550" s="1">
        <f ca="1">IFERROR(__xludf.DUMMYFUNCTION("""COMPUTED_VALUE"""),2427.35)</f>
        <v>2427.35</v>
      </c>
      <c r="C550" s="1">
        <f ca="1">IFERROR(__xludf.DUMMYFUNCTION("""COMPUTED_VALUE"""),2429.3)</f>
        <v>2429.3000000000002</v>
      </c>
      <c r="D550" s="1">
        <f ca="1">IFERROR(__xludf.DUMMYFUNCTION("""COMPUTED_VALUE"""),2412.79)</f>
        <v>2412.79</v>
      </c>
      <c r="E550" s="1">
        <f ca="1">IFERROR(__xludf.DUMMYFUNCTION("""COMPUTED_VALUE"""),2425.53)</f>
        <v>2425.5300000000002</v>
      </c>
      <c r="F550" s="1">
        <f ca="1">IFERROR(__xludf.DUMMYFUNCTION("""COMPUTED_VALUE"""),1732498090)</f>
        <v>1732498090</v>
      </c>
    </row>
    <row r="551" spans="1:6" ht="13" x14ac:dyDescent="0.15">
      <c r="A551" s="2">
        <f ca="1">IFERROR(__xludf.DUMMYFUNCTION("""COMPUTED_VALUE"""),42928.6666666666)</f>
        <v>42928.666666666599</v>
      </c>
      <c r="B551" s="1">
        <f ca="1">IFERROR(__xludf.DUMMYFUNCTION("""COMPUTED_VALUE"""),2435.75)</f>
        <v>2435.75</v>
      </c>
      <c r="C551" s="1">
        <f ca="1">IFERROR(__xludf.DUMMYFUNCTION("""COMPUTED_VALUE"""),2445.76)</f>
        <v>2445.7600000000002</v>
      </c>
      <c r="D551" s="1">
        <f ca="1">IFERROR(__xludf.DUMMYFUNCTION("""COMPUTED_VALUE"""),2435.75)</f>
        <v>2435.75</v>
      </c>
      <c r="E551" s="1">
        <f ca="1">IFERROR(__xludf.DUMMYFUNCTION("""COMPUTED_VALUE"""),2443.25)</f>
        <v>2443.25</v>
      </c>
      <c r="F551" s="1">
        <f ca="1">IFERROR(__xludf.DUMMYFUNCTION("""COMPUTED_VALUE"""),1856436041)</f>
        <v>1856436041</v>
      </c>
    </row>
    <row r="552" spans="1:6" ht="13" x14ac:dyDescent="0.15">
      <c r="A552" s="2">
        <f ca="1">IFERROR(__xludf.DUMMYFUNCTION("""COMPUTED_VALUE"""),42929.6666666666)</f>
        <v>42929.666666666599</v>
      </c>
      <c r="B552" s="1">
        <f ca="1">IFERROR(__xludf.DUMMYFUNCTION("""COMPUTED_VALUE"""),2444.99)</f>
        <v>2444.9899999999998</v>
      </c>
      <c r="C552" s="1">
        <f ca="1">IFERROR(__xludf.DUMMYFUNCTION("""COMPUTED_VALUE"""),2449.32)</f>
        <v>2449.3200000000002</v>
      </c>
      <c r="D552" s="1">
        <f ca="1">IFERROR(__xludf.DUMMYFUNCTION("""COMPUTED_VALUE"""),2441.69)</f>
        <v>2441.69</v>
      </c>
      <c r="E552" s="1">
        <f ca="1">IFERROR(__xludf.DUMMYFUNCTION("""COMPUTED_VALUE"""),2447.83)</f>
        <v>2447.83</v>
      </c>
      <c r="F552" s="1">
        <f ca="1">IFERROR(__xludf.DUMMYFUNCTION("""COMPUTED_VALUE"""),1845640421)</f>
        <v>1845640421</v>
      </c>
    </row>
    <row r="553" spans="1:6" ht="13" x14ac:dyDescent="0.15">
      <c r="A553" s="2">
        <f ca="1">IFERROR(__xludf.DUMMYFUNCTION("""COMPUTED_VALUE"""),42930.6666666666)</f>
        <v>42930.666666666599</v>
      </c>
      <c r="B553" s="1">
        <f ca="1">IFERROR(__xludf.DUMMYFUNCTION("""COMPUTED_VALUE"""),2449.16)</f>
        <v>2449.16</v>
      </c>
      <c r="C553" s="1">
        <f ca="1">IFERROR(__xludf.DUMMYFUNCTION("""COMPUTED_VALUE"""),2463.54)</f>
        <v>2463.54</v>
      </c>
      <c r="D553" s="1">
        <f ca="1">IFERROR(__xludf.DUMMYFUNCTION("""COMPUTED_VALUE"""),2446.69)</f>
        <v>2446.69</v>
      </c>
      <c r="E553" s="1">
        <f ca="1">IFERROR(__xludf.DUMMYFUNCTION("""COMPUTED_VALUE"""),2459.27)</f>
        <v>2459.27</v>
      </c>
      <c r="F553" s="1">
        <f ca="1">IFERROR(__xludf.DUMMYFUNCTION("""COMPUTED_VALUE"""),1667639471)</f>
        <v>1667639471</v>
      </c>
    </row>
    <row r="554" spans="1:6" ht="13" x14ac:dyDescent="0.15">
      <c r="A554" s="2">
        <f ca="1">IFERROR(__xludf.DUMMYFUNCTION("""COMPUTED_VALUE"""),42933.6666666666)</f>
        <v>42933.666666666599</v>
      </c>
      <c r="B554" s="1">
        <f ca="1">IFERROR(__xludf.DUMMYFUNCTION("""COMPUTED_VALUE"""),2459.5)</f>
        <v>2459.5</v>
      </c>
      <c r="C554" s="1">
        <f ca="1">IFERROR(__xludf.DUMMYFUNCTION("""COMPUTED_VALUE"""),2462.82)</f>
        <v>2462.8200000000002</v>
      </c>
      <c r="D554" s="1">
        <f ca="1">IFERROR(__xludf.DUMMYFUNCTION("""COMPUTED_VALUE"""),2457.16)</f>
        <v>2457.16</v>
      </c>
      <c r="E554" s="1">
        <f ca="1">IFERROR(__xludf.DUMMYFUNCTION("""COMPUTED_VALUE"""),2459.14)</f>
        <v>2459.14</v>
      </c>
      <c r="F554" s="1">
        <f ca="1">IFERROR(__xludf.DUMMYFUNCTION("""COMPUTED_VALUE"""),1655943312)</f>
        <v>1655943312</v>
      </c>
    </row>
    <row r="555" spans="1:6" ht="13" x14ac:dyDescent="0.15">
      <c r="A555" s="2">
        <f ca="1">IFERROR(__xludf.DUMMYFUNCTION("""COMPUTED_VALUE"""),42934.6666666666)</f>
        <v>42934.666666666599</v>
      </c>
      <c r="B555" s="1">
        <f ca="1">IFERROR(__xludf.DUMMYFUNCTION("""COMPUTED_VALUE"""),2455.88)</f>
        <v>2455.88</v>
      </c>
      <c r="C555" s="1">
        <f ca="1">IFERROR(__xludf.DUMMYFUNCTION("""COMPUTED_VALUE"""),2460.92)</f>
        <v>2460.92</v>
      </c>
      <c r="D555" s="1">
        <f ca="1">IFERROR(__xludf.DUMMYFUNCTION("""COMPUTED_VALUE"""),2450.34)</f>
        <v>2450.34</v>
      </c>
      <c r="E555" s="1">
        <f ca="1">IFERROR(__xludf.DUMMYFUNCTION("""COMPUTED_VALUE"""),2460.61)</f>
        <v>2460.61</v>
      </c>
      <c r="F555" s="1">
        <f ca="1">IFERROR(__xludf.DUMMYFUNCTION("""COMPUTED_VALUE"""),1750952401)</f>
        <v>1750952401</v>
      </c>
    </row>
    <row r="556" spans="1:6" ht="13" x14ac:dyDescent="0.15">
      <c r="A556" s="2">
        <f ca="1">IFERROR(__xludf.DUMMYFUNCTION("""COMPUTED_VALUE"""),42935.6666666666)</f>
        <v>42935.666666666599</v>
      </c>
      <c r="B556" s="1">
        <f ca="1">IFERROR(__xludf.DUMMYFUNCTION("""COMPUTED_VALUE"""),2463.85)</f>
        <v>2463.85</v>
      </c>
      <c r="C556" s="1">
        <f ca="1">IFERROR(__xludf.DUMMYFUNCTION("""COMPUTED_VALUE"""),2473.83)</f>
        <v>2473.83</v>
      </c>
      <c r="D556" s="1">
        <f ca="1">IFERROR(__xludf.DUMMYFUNCTION("""COMPUTED_VALUE"""),2463.85)</f>
        <v>2463.85</v>
      </c>
      <c r="E556" s="1">
        <f ca="1">IFERROR(__xludf.DUMMYFUNCTION("""COMPUTED_VALUE"""),2473.83)</f>
        <v>2473.83</v>
      </c>
      <c r="F556" s="1">
        <f ca="1">IFERROR(__xludf.DUMMYFUNCTION("""COMPUTED_VALUE"""),1849694295)</f>
        <v>1849694295</v>
      </c>
    </row>
    <row r="557" spans="1:6" ht="13" x14ac:dyDescent="0.15">
      <c r="A557" s="2">
        <f ca="1">IFERROR(__xludf.DUMMYFUNCTION("""COMPUTED_VALUE"""),42936.6666666666)</f>
        <v>42936.666666666599</v>
      </c>
      <c r="B557" s="1">
        <f ca="1">IFERROR(__xludf.DUMMYFUNCTION("""COMPUTED_VALUE"""),2475.56)</f>
        <v>2475.56</v>
      </c>
      <c r="C557" s="1">
        <f ca="1">IFERROR(__xludf.DUMMYFUNCTION("""COMPUTED_VALUE"""),2477.62)</f>
        <v>2477.62</v>
      </c>
      <c r="D557" s="1">
        <f ca="1">IFERROR(__xludf.DUMMYFUNCTION("""COMPUTED_VALUE"""),2468.43)</f>
        <v>2468.4299999999998</v>
      </c>
      <c r="E557" s="1">
        <f ca="1">IFERROR(__xludf.DUMMYFUNCTION("""COMPUTED_VALUE"""),2473.45)</f>
        <v>2473.4499999999998</v>
      </c>
      <c r="F557" s="1">
        <f ca="1">IFERROR(__xludf.DUMMYFUNCTION("""COMPUTED_VALUE"""),1993809051)</f>
        <v>1993809051</v>
      </c>
    </row>
    <row r="558" spans="1:6" ht="13" x14ac:dyDescent="0.15">
      <c r="A558" s="2">
        <f ca="1">IFERROR(__xludf.DUMMYFUNCTION("""COMPUTED_VALUE"""),42937.6666666666)</f>
        <v>42937.666666666599</v>
      </c>
      <c r="B558" s="1">
        <f ca="1">IFERROR(__xludf.DUMMYFUNCTION("""COMPUTED_VALUE"""),2467.4)</f>
        <v>2467.4</v>
      </c>
      <c r="C558" s="1">
        <f ca="1">IFERROR(__xludf.DUMMYFUNCTION("""COMPUTED_VALUE"""),2472.54)</f>
        <v>2472.54</v>
      </c>
      <c r="D558" s="1">
        <f ca="1">IFERROR(__xludf.DUMMYFUNCTION("""COMPUTED_VALUE"""),2465.06)</f>
        <v>2465.06</v>
      </c>
      <c r="E558" s="1">
        <f ca="1">IFERROR(__xludf.DUMMYFUNCTION("""COMPUTED_VALUE"""),2472.54)</f>
        <v>2472.54</v>
      </c>
      <c r="F558" s="1">
        <f ca="1">IFERROR(__xludf.DUMMYFUNCTION("""COMPUTED_VALUE"""),1946504700)</f>
        <v>1946504700</v>
      </c>
    </row>
    <row r="559" spans="1:6" ht="13" x14ac:dyDescent="0.15">
      <c r="A559" s="2">
        <f ca="1">IFERROR(__xludf.DUMMYFUNCTION("""COMPUTED_VALUE"""),42940.6666666666)</f>
        <v>42940.666666666599</v>
      </c>
      <c r="B559" s="1">
        <f ca="1">IFERROR(__xludf.DUMMYFUNCTION("""COMPUTED_VALUE"""),2472.04)</f>
        <v>2472.04</v>
      </c>
      <c r="C559" s="1">
        <f ca="1">IFERROR(__xludf.DUMMYFUNCTION("""COMPUTED_VALUE"""),2473.1)</f>
        <v>2473.1</v>
      </c>
      <c r="D559" s="1">
        <f ca="1">IFERROR(__xludf.DUMMYFUNCTION("""COMPUTED_VALUE"""),2466.32)</f>
        <v>2466.3200000000002</v>
      </c>
      <c r="E559" s="1">
        <f ca="1">IFERROR(__xludf.DUMMYFUNCTION("""COMPUTED_VALUE"""),2469.91)</f>
        <v>2469.91</v>
      </c>
      <c r="F559" s="1">
        <f ca="1">IFERROR(__xludf.DUMMYFUNCTION("""COMPUTED_VALUE"""),1943950654)</f>
        <v>1943950654</v>
      </c>
    </row>
    <row r="560" spans="1:6" ht="13" x14ac:dyDescent="0.15">
      <c r="A560" s="2">
        <f ca="1">IFERROR(__xludf.DUMMYFUNCTION("""COMPUTED_VALUE"""),42941.6666666666)</f>
        <v>42941.666666666599</v>
      </c>
      <c r="B560" s="1">
        <f ca="1">IFERROR(__xludf.DUMMYFUNCTION("""COMPUTED_VALUE"""),2477.88)</f>
        <v>2477.88</v>
      </c>
      <c r="C560" s="1">
        <f ca="1">IFERROR(__xludf.DUMMYFUNCTION("""COMPUTED_VALUE"""),2481.24)</f>
        <v>2481.2399999999998</v>
      </c>
      <c r="D560" s="1">
        <f ca="1">IFERROR(__xludf.DUMMYFUNCTION("""COMPUTED_VALUE"""),2474.91)</f>
        <v>2474.91</v>
      </c>
      <c r="E560" s="1">
        <f ca="1">IFERROR(__xludf.DUMMYFUNCTION("""COMPUTED_VALUE"""),2477.13)</f>
        <v>2477.13</v>
      </c>
      <c r="F560" s="1">
        <f ca="1">IFERROR(__xludf.DUMMYFUNCTION("""COMPUTED_VALUE"""),2373901996)</f>
        <v>2373901996</v>
      </c>
    </row>
    <row r="561" spans="1:6" ht="13" x14ac:dyDescent="0.15">
      <c r="A561" s="2">
        <f ca="1">IFERROR(__xludf.DUMMYFUNCTION("""COMPUTED_VALUE"""),42942.6666666666)</f>
        <v>42942.666666666599</v>
      </c>
      <c r="B561" s="1">
        <f ca="1">IFERROR(__xludf.DUMMYFUNCTION("""COMPUTED_VALUE"""),2479.97)</f>
        <v>2479.9699999999998</v>
      </c>
      <c r="C561" s="1">
        <f ca="1">IFERROR(__xludf.DUMMYFUNCTION("""COMPUTED_VALUE"""),2481.69)</f>
        <v>2481.69</v>
      </c>
      <c r="D561" s="1">
        <f ca="1">IFERROR(__xludf.DUMMYFUNCTION("""COMPUTED_VALUE"""),2474.94)</f>
        <v>2474.94</v>
      </c>
      <c r="E561" s="1">
        <f ca="1">IFERROR(__xludf.DUMMYFUNCTION("""COMPUTED_VALUE"""),2477.83)</f>
        <v>2477.83</v>
      </c>
      <c r="F561" s="1">
        <f ca="1">IFERROR(__xludf.DUMMYFUNCTION("""COMPUTED_VALUE"""),2261843215)</f>
        <v>2261843215</v>
      </c>
    </row>
    <row r="562" spans="1:6" ht="13" x14ac:dyDescent="0.15">
      <c r="A562" s="2">
        <f ca="1">IFERROR(__xludf.DUMMYFUNCTION("""COMPUTED_VALUE"""),42943.6666666666)</f>
        <v>42943.666666666599</v>
      </c>
      <c r="B562" s="1">
        <f ca="1">IFERROR(__xludf.DUMMYFUNCTION("""COMPUTED_VALUE"""),2482.76)</f>
        <v>2482.7600000000002</v>
      </c>
      <c r="C562" s="1">
        <f ca="1">IFERROR(__xludf.DUMMYFUNCTION("""COMPUTED_VALUE"""),2484.04)</f>
        <v>2484.04</v>
      </c>
      <c r="D562" s="1">
        <f ca="1">IFERROR(__xludf.DUMMYFUNCTION("""COMPUTED_VALUE"""),2459.93)</f>
        <v>2459.9299999999998</v>
      </c>
      <c r="E562" s="1">
        <f ca="1">IFERROR(__xludf.DUMMYFUNCTION("""COMPUTED_VALUE"""),2475.42)</f>
        <v>2475.42</v>
      </c>
      <c r="F562" s="1">
        <f ca="1">IFERROR(__xludf.DUMMYFUNCTION("""COMPUTED_VALUE"""),2677231030)</f>
        <v>2677231030</v>
      </c>
    </row>
    <row r="563" spans="1:6" ht="13" x14ac:dyDescent="0.15">
      <c r="A563" s="2">
        <f ca="1">IFERROR(__xludf.DUMMYFUNCTION("""COMPUTED_VALUE"""),42944.6666666666)</f>
        <v>42944.666666666599</v>
      </c>
      <c r="B563" s="1">
        <f ca="1">IFERROR(__xludf.DUMMYFUNCTION("""COMPUTED_VALUE"""),2469.12)</f>
        <v>2469.12</v>
      </c>
      <c r="C563" s="1">
        <f ca="1">IFERROR(__xludf.DUMMYFUNCTION("""COMPUTED_VALUE"""),2473.53)</f>
        <v>2473.5300000000002</v>
      </c>
      <c r="D563" s="1">
        <f ca="1">IFERROR(__xludf.DUMMYFUNCTION("""COMPUTED_VALUE"""),2464.66)</f>
        <v>2464.66</v>
      </c>
      <c r="E563" s="1">
        <f ca="1">IFERROR(__xludf.DUMMYFUNCTION("""COMPUTED_VALUE"""),2472.1)</f>
        <v>2472.1</v>
      </c>
      <c r="F563" s="1">
        <f ca="1">IFERROR(__xludf.DUMMYFUNCTION("""COMPUTED_VALUE"""),2043353625)</f>
        <v>2043353625</v>
      </c>
    </row>
    <row r="564" spans="1:6" ht="13" x14ac:dyDescent="0.15">
      <c r="A564" s="2">
        <f ca="1">IFERROR(__xludf.DUMMYFUNCTION("""COMPUTED_VALUE"""),42947.6666666666)</f>
        <v>42947.666666666599</v>
      </c>
      <c r="B564" s="1">
        <f ca="1">IFERROR(__xludf.DUMMYFUNCTION("""COMPUTED_VALUE"""),2475.94)</f>
        <v>2475.94</v>
      </c>
      <c r="C564" s="1">
        <f ca="1">IFERROR(__xludf.DUMMYFUNCTION("""COMPUTED_VALUE"""),2477.96)</f>
        <v>2477.96</v>
      </c>
      <c r="D564" s="1">
        <f ca="1">IFERROR(__xludf.DUMMYFUNCTION("""COMPUTED_VALUE"""),2468.53)</f>
        <v>2468.5300000000002</v>
      </c>
      <c r="E564" s="1">
        <f ca="1">IFERROR(__xludf.DUMMYFUNCTION("""COMPUTED_VALUE"""),2470.3)</f>
        <v>2470.3000000000002</v>
      </c>
      <c r="F564" s="1">
        <f ca="1">IFERROR(__xludf.DUMMYFUNCTION("""COMPUTED_VALUE"""),2189633778)</f>
        <v>2189633778</v>
      </c>
    </row>
    <row r="565" spans="1:6" ht="13" x14ac:dyDescent="0.15">
      <c r="A565" s="2">
        <f ca="1">IFERROR(__xludf.DUMMYFUNCTION("""COMPUTED_VALUE"""),42948.6666666666)</f>
        <v>42948.666666666599</v>
      </c>
      <c r="B565" s="1">
        <f ca="1">IFERROR(__xludf.DUMMYFUNCTION("""COMPUTED_VALUE"""),2477.1)</f>
        <v>2477.1</v>
      </c>
      <c r="C565" s="1">
        <f ca="1">IFERROR(__xludf.DUMMYFUNCTION("""COMPUTED_VALUE"""),2478.51)</f>
        <v>2478.5100000000002</v>
      </c>
      <c r="D565" s="1">
        <f ca="1">IFERROR(__xludf.DUMMYFUNCTION("""COMPUTED_VALUE"""),2471.14)</f>
        <v>2471.14</v>
      </c>
      <c r="E565" s="1">
        <f ca="1">IFERROR(__xludf.DUMMYFUNCTION("""COMPUTED_VALUE"""),2476.35)</f>
        <v>2476.35</v>
      </c>
      <c r="F565" s="1">
        <f ca="1">IFERROR(__xludf.DUMMYFUNCTION("""COMPUTED_VALUE"""),2076284140)</f>
        <v>2076284140</v>
      </c>
    </row>
    <row r="566" spans="1:6" ht="13" x14ac:dyDescent="0.15">
      <c r="A566" s="2">
        <f ca="1">IFERROR(__xludf.DUMMYFUNCTION("""COMPUTED_VALUE"""),42949.6666666666)</f>
        <v>42949.666666666599</v>
      </c>
      <c r="B566" s="1">
        <f ca="1">IFERROR(__xludf.DUMMYFUNCTION("""COMPUTED_VALUE"""),2480.38)</f>
        <v>2480.38</v>
      </c>
      <c r="C566" s="1">
        <f ca="1">IFERROR(__xludf.DUMMYFUNCTION("""COMPUTED_VALUE"""),2480.38)</f>
        <v>2480.38</v>
      </c>
      <c r="D566" s="1">
        <f ca="1">IFERROR(__xludf.DUMMYFUNCTION("""COMPUTED_VALUE"""),2466.48)</f>
        <v>2466.48</v>
      </c>
      <c r="E566" s="1">
        <f ca="1">IFERROR(__xludf.DUMMYFUNCTION("""COMPUTED_VALUE"""),2477.57)</f>
        <v>2477.5700000000002</v>
      </c>
      <c r="F566" s="1">
        <f ca="1">IFERROR(__xludf.DUMMYFUNCTION("""COMPUTED_VALUE"""),2125483668)</f>
        <v>2125483668</v>
      </c>
    </row>
    <row r="567" spans="1:6" ht="13" x14ac:dyDescent="0.15">
      <c r="A567" s="2">
        <f ca="1">IFERROR(__xludf.DUMMYFUNCTION("""COMPUTED_VALUE"""),42950.6666666666)</f>
        <v>42950.666666666599</v>
      </c>
      <c r="B567" s="1">
        <f ca="1">IFERROR(__xludf.DUMMYFUNCTION("""COMPUTED_VALUE"""),2476.03)</f>
        <v>2476.0300000000002</v>
      </c>
      <c r="C567" s="1">
        <f ca="1">IFERROR(__xludf.DUMMYFUNCTION("""COMPUTED_VALUE"""),2476.03)</f>
        <v>2476.0300000000002</v>
      </c>
      <c r="D567" s="1">
        <f ca="1">IFERROR(__xludf.DUMMYFUNCTION("""COMPUTED_VALUE"""),2468.85)</f>
        <v>2468.85</v>
      </c>
      <c r="E567" s="1">
        <f ca="1">IFERROR(__xludf.DUMMYFUNCTION("""COMPUTED_VALUE"""),2472.16)</f>
        <v>2472.16</v>
      </c>
      <c r="F567" s="1">
        <f ca="1">IFERROR(__xludf.DUMMYFUNCTION("""COMPUTED_VALUE"""),2039487376)</f>
        <v>2039487376</v>
      </c>
    </row>
    <row r="568" spans="1:6" ht="13" x14ac:dyDescent="0.15">
      <c r="A568" s="2">
        <f ca="1">IFERROR(__xludf.DUMMYFUNCTION("""COMPUTED_VALUE"""),42951.6666666666)</f>
        <v>42951.666666666599</v>
      </c>
      <c r="B568" s="1">
        <f ca="1">IFERROR(__xludf.DUMMYFUNCTION("""COMPUTED_VALUE"""),2476.88)</f>
        <v>2476.88</v>
      </c>
      <c r="C568" s="1">
        <f ca="1">IFERROR(__xludf.DUMMYFUNCTION("""COMPUTED_VALUE"""),2480)</f>
        <v>2480</v>
      </c>
      <c r="D568" s="1">
        <f ca="1">IFERROR(__xludf.DUMMYFUNCTION("""COMPUTED_VALUE"""),2472.08)</f>
        <v>2472.08</v>
      </c>
      <c r="E568" s="1">
        <f ca="1">IFERROR(__xludf.DUMMYFUNCTION("""COMPUTED_VALUE"""),2476.83)</f>
        <v>2476.83</v>
      </c>
      <c r="F568" s="1">
        <f ca="1">IFERROR(__xludf.DUMMYFUNCTION("""COMPUTED_VALUE"""),1869113813)</f>
        <v>1869113813</v>
      </c>
    </row>
    <row r="569" spans="1:6" ht="13" x14ac:dyDescent="0.15">
      <c r="A569" s="2">
        <f ca="1">IFERROR(__xludf.DUMMYFUNCTION("""COMPUTED_VALUE"""),42954.6666666666)</f>
        <v>42954.666666666599</v>
      </c>
      <c r="B569" s="1">
        <f ca="1">IFERROR(__xludf.DUMMYFUNCTION("""COMPUTED_VALUE"""),2477.14)</f>
        <v>2477.14</v>
      </c>
      <c r="C569" s="1">
        <f ca="1">IFERROR(__xludf.DUMMYFUNCTION("""COMPUTED_VALUE"""),2480.95)</f>
        <v>2480.9499999999998</v>
      </c>
      <c r="D569" s="1">
        <f ca="1">IFERROR(__xludf.DUMMYFUNCTION("""COMPUTED_VALUE"""),2475.88)</f>
        <v>2475.88</v>
      </c>
      <c r="E569" s="1">
        <f ca="1">IFERROR(__xludf.DUMMYFUNCTION("""COMPUTED_VALUE"""),2480.91)</f>
        <v>2480.91</v>
      </c>
      <c r="F569" s="1">
        <f ca="1">IFERROR(__xludf.DUMMYFUNCTION("""COMPUTED_VALUE"""),1639568452)</f>
        <v>1639568452</v>
      </c>
    </row>
    <row r="570" spans="1:6" ht="13" x14ac:dyDescent="0.15">
      <c r="A570" s="2">
        <f ca="1">IFERROR(__xludf.DUMMYFUNCTION("""COMPUTED_VALUE"""),42955.6666666666)</f>
        <v>42955.666666666599</v>
      </c>
      <c r="B570" s="1">
        <f ca="1">IFERROR(__xludf.DUMMYFUNCTION("""COMPUTED_VALUE"""),2478.35)</f>
        <v>2478.35</v>
      </c>
      <c r="C570" s="1">
        <f ca="1">IFERROR(__xludf.DUMMYFUNCTION("""COMPUTED_VALUE"""),2490.87)</f>
        <v>2490.87</v>
      </c>
      <c r="D570" s="1">
        <f ca="1">IFERROR(__xludf.DUMMYFUNCTION("""COMPUTED_VALUE"""),2470.32)</f>
        <v>2470.3200000000002</v>
      </c>
      <c r="E570" s="1">
        <f ca="1">IFERROR(__xludf.DUMMYFUNCTION("""COMPUTED_VALUE"""),2474.92)</f>
        <v>2474.92</v>
      </c>
      <c r="F570" s="1">
        <f ca="1">IFERROR(__xludf.DUMMYFUNCTION("""COMPUTED_VALUE"""),1826290700)</f>
        <v>1826290700</v>
      </c>
    </row>
    <row r="571" spans="1:6" ht="13" x14ac:dyDescent="0.15">
      <c r="A571" s="2">
        <f ca="1">IFERROR(__xludf.DUMMYFUNCTION("""COMPUTED_VALUE"""),42956.6666666666)</f>
        <v>42956.666666666599</v>
      </c>
      <c r="B571" s="1">
        <f ca="1">IFERROR(__xludf.DUMMYFUNCTION("""COMPUTED_VALUE"""),2465.35)</f>
        <v>2465.35</v>
      </c>
      <c r="C571" s="1">
        <f ca="1">IFERROR(__xludf.DUMMYFUNCTION("""COMPUTED_VALUE"""),2474.41)</f>
        <v>2474.41</v>
      </c>
      <c r="D571" s="1">
        <f ca="1">IFERROR(__xludf.DUMMYFUNCTION("""COMPUTED_VALUE"""),2462.08)</f>
        <v>2462.08</v>
      </c>
      <c r="E571" s="1">
        <f ca="1">IFERROR(__xludf.DUMMYFUNCTION("""COMPUTED_VALUE"""),2474.02)</f>
        <v>2474.02</v>
      </c>
      <c r="F571" s="1">
        <f ca="1">IFERROR(__xludf.DUMMYFUNCTION("""COMPUTED_VALUE"""),1821056073)</f>
        <v>1821056073</v>
      </c>
    </row>
    <row r="572" spans="1:6" ht="13" x14ac:dyDescent="0.15">
      <c r="A572" s="2">
        <f ca="1">IFERROR(__xludf.DUMMYFUNCTION("""COMPUTED_VALUE"""),42957.6666666666)</f>
        <v>42957.666666666599</v>
      </c>
      <c r="B572" s="1">
        <f ca="1">IFERROR(__xludf.DUMMYFUNCTION("""COMPUTED_VALUE"""),2465.38)</f>
        <v>2465.38</v>
      </c>
      <c r="C572" s="1">
        <f ca="1">IFERROR(__xludf.DUMMYFUNCTION("""COMPUTED_VALUE"""),2465.38)</f>
        <v>2465.38</v>
      </c>
      <c r="D572" s="1">
        <f ca="1">IFERROR(__xludf.DUMMYFUNCTION("""COMPUTED_VALUE"""),2437.75)</f>
        <v>2437.75</v>
      </c>
      <c r="E572" s="1">
        <f ca="1">IFERROR(__xludf.DUMMYFUNCTION("""COMPUTED_VALUE"""),2438.21)</f>
        <v>2438.21</v>
      </c>
      <c r="F572" s="1">
        <f ca="1">IFERROR(__xludf.DUMMYFUNCTION("""COMPUTED_VALUE"""),2079314829)</f>
        <v>2079314829</v>
      </c>
    </row>
    <row r="573" spans="1:6" ht="13" x14ac:dyDescent="0.15">
      <c r="A573" s="2">
        <f ca="1">IFERROR(__xludf.DUMMYFUNCTION("""COMPUTED_VALUE"""),42958.6666666666)</f>
        <v>42958.666666666599</v>
      </c>
      <c r="B573" s="1">
        <f ca="1">IFERROR(__xludf.DUMMYFUNCTION("""COMPUTED_VALUE"""),2441.04)</f>
        <v>2441.04</v>
      </c>
      <c r="C573" s="1">
        <f ca="1">IFERROR(__xludf.DUMMYFUNCTION("""COMPUTED_VALUE"""),2448.09)</f>
        <v>2448.09</v>
      </c>
      <c r="D573" s="1">
        <f ca="1">IFERROR(__xludf.DUMMYFUNCTION("""COMPUTED_VALUE"""),2437.85)</f>
        <v>2437.85</v>
      </c>
      <c r="E573" s="1">
        <f ca="1">IFERROR(__xludf.DUMMYFUNCTION("""COMPUTED_VALUE"""),2441.32)</f>
        <v>2441.3200000000002</v>
      </c>
      <c r="F573" s="1">
        <f ca="1">IFERROR(__xludf.DUMMYFUNCTION("""COMPUTED_VALUE"""),1659262568)</f>
        <v>1659262568</v>
      </c>
    </row>
    <row r="574" spans="1:6" ht="13" x14ac:dyDescent="0.15">
      <c r="A574" s="2">
        <f ca="1">IFERROR(__xludf.DUMMYFUNCTION("""COMPUTED_VALUE"""),42961.6666666666)</f>
        <v>42961.666666666599</v>
      </c>
      <c r="B574" s="1">
        <f ca="1">IFERROR(__xludf.DUMMYFUNCTION("""COMPUTED_VALUE"""),2454.96)</f>
        <v>2454.96</v>
      </c>
      <c r="C574" s="1">
        <f ca="1">IFERROR(__xludf.DUMMYFUNCTION("""COMPUTED_VALUE"""),2468.22)</f>
        <v>2468.2199999999998</v>
      </c>
      <c r="D574" s="1">
        <f ca="1">IFERROR(__xludf.DUMMYFUNCTION("""COMPUTED_VALUE"""),2454.96)</f>
        <v>2454.96</v>
      </c>
      <c r="E574" s="1">
        <f ca="1">IFERROR(__xludf.DUMMYFUNCTION("""COMPUTED_VALUE"""),2465.84)</f>
        <v>2465.84</v>
      </c>
      <c r="F574" s="1">
        <f ca="1">IFERROR(__xludf.DUMMYFUNCTION("""COMPUTED_VALUE"""),1586223587)</f>
        <v>1586223587</v>
      </c>
    </row>
    <row r="575" spans="1:6" ht="13" x14ac:dyDescent="0.15">
      <c r="A575" s="2">
        <f ca="1">IFERROR(__xludf.DUMMYFUNCTION("""COMPUTED_VALUE"""),42962.6666666666)</f>
        <v>42962.666666666599</v>
      </c>
      <c r="B575" s="1">
        <f ca="1">IFERROR(__xludf.DUMMYFUNCTION("""COMPUTED_VALUE"""),2468.66)</f>
        <v>2468.66</v>
      </c>
      <c r="C575" s="1">
        <f ca="1">IFERROR(__xludf.DUMMYFUNCTION("""COMPUTED_VALUE"""),2468.9)</f>
        <v>2468.9</v>
      </c>
      <c r="D575" s="1">
        <f ca="1">IFERROR(__xludf.DUMMYFUNCTION("""COMPUTED_VALUE"""),2461.61)</f>
        <v>2461.61</v>
      </c>
      <c r="E575" s="1">
        <f ca="1">IFERROR(__xludf.DUMMYFUNCTION("""COMPUTED_VALUE"""),2464.61)</f>
        <v>2464.61</v>
      </c>
      <c r="F575" s="1">
        <f ca="1">IFERROR(__xludf.DUMMYFUNCTION("""COMPUTED_VALUE"""),1689633539)</f>
        <v>1689633539</v>
      </c>
    </row>
    <row r="576" spans="1:6" ht="13" x14ac:dyDescent="0.15">
      <c r="A576" s="2">
        <f ca="1">IFERROR(__xludf.DUMMYFUNCTION("""COMPUTED_VALUE"""),42963.6666666666)</f>
        <v>42963.666666666599</v>
      </c>
      <c r="B576" s="1">
        <f ca="1">IFERROR(__xludf.DUMMYFUNCTION("""COMPUTED_VALUE"""),2468.63)</f>
        <v>2468.63</v>
      </c>
      <c r="C576" s="1">
        <f ca="1">IFERROR(__xludf.DUMMYFUNCTION("""COMPUTED_VALUE"""),2474.93)</f>
        <v>2474.9299999999998</v>
      </c>
      <c r="D576" s="1">
        <f ca="1">IFERROR(__xludf.DUMMYFUNCTION("""COMPUTED_VALUE"""),2463.86)</f>
        <v>2463.86</v>
      </c>
      <c r="E576" s="1">
        <f ca="1">IFERROR(__xludf.DUMMYFUNCTION("""COMPUTED_VALUE"""),2468.11)</f>
        <v>2468.11</v>
      </c>
      <c r="F576" s="1">
        <f ca="1">IFERROR(__xludf.DUMMYFUNCTION("""COMPUTED_VALUE"""),1686069913)</f>
        <v>1686069913</v>
      </c>
    </row>
    <row r="577" spans="1:6" ht="13" x14ac:dyDescent="0.15">
      <c r="A577" s="2">
        <f ca="1">IFERROR(__xludf.DUMMYFUNCTION("""COMPUTED_VALUE"""),42964.6666666666)</f>
        <v>42964.666666666599</v>
      </c>
      <c r="B577" s="1">
        <f ca="1">IFERROR(__xludf.DUMMYFUNCTION("""COMPUTED_VALUE"""),2462.95)</f>
        <v>2462.9499999999998</v>
      </c>
      <c r="C577" s="1">
        <f ca="1">IFERROR(__xludf.DUMMYFUNCTION("""COMPUTED_VALUE"""),2465.02)</f>
        <v>2465.02</v>
      </c>
      <c r="D577" s="1">
        <f ca="1">IFERROR(__xludf.DUMMYFUNCTION("""COMPUTED_VALUE"""),2430.01)</f>
        <v>2430.0100000000002</v>
      </c>
      <c r="E577" s="1">
        <f ca="1">IFERROR(__xludf.DUMMYFUNCTION("""COMPUTED_VALUE"""),2430.01)</f>
        <v>2430.0100000000002</v>
      </c>
      <c r="F577" s="1">
        <f ca="1">IFERROR(__xludf.DUMMYFUNCTION("""COMPUTED_VALUE"""),1929351131)</f>
        <v>1929351131</v>
      </c>
    </row>
    <row r="578" spans="1:6" ht="13" x14ac:dyDescent="0.15">
      <c r="A578" s="2">
        <f ca="1">IFERROR(__xludf.DUMMYFUNCTION("""COMPUTED_VALUE"""),42965.6666666666)</f>
        <v>42965.666666666599</v>
      </c>
      <c r="B578" s="1">
        <f ca="1">IFERROR(__xludf.DUMMYFUNCTION("""COMPUTED_VALUE"""),2427.64)</f>
        <v>2427.64</v>
      </c>
      <c r="C578" s="1">
        <f ca="1">IFERROR(__xludf.DUMMYFUNCTION("""COMPUTED_VALUE"""),2440.27)</f>
        <v>2440.27</v>
      </c>
      <c r="D578" s="1">
        <f ca="1">IFERROR(__xludf.DUMMYFUNCTION("""COMPUTED_VALUE"""),2420.69)</f>
        <v>2420.69</v>
      </c>
      <c r="E578" s="1">
        <f ca="1">IFERROR(__xludf.DUMMYFUNCTION("""COMPUTED_VALUE"""),2425.55)</f>
        <v>2425.5500000000002</v>
      </c>
      <c r="F578" s="1">
        <f ca="1">IFERROR(__xludf.DUMMYFUNCTION("""COMPUTED_VALUE"""),1962081325)</f>
        <v>1962081325</v>
      </c>
    </row>
    <row r="579" spans="1:6" ht="13" x14ac:dyDescent="0.15">
      <c r="A579" s="2">
        <f ca="1">IFERROR(__xludf.DUMMYFUNCTION("""COMPUTED_VALUE"""),42968.6666666666)</f>
        <v>42968.666666666599</v>
      </c>
      <c r="B579" s="1">
        <f ca="1">IFERROR(__xludf.DUMMYFUNCTION("""COMPUTED_VALUE"""),2425.5)</f>
        <v>2425.5</v>
      </c>
      <c r="C579" s="1">
        <f ca="1">IFERROR(__xludf.DUMMYFUNCTION("""COMPUTED_VALUE"""),2430.58)</f>
        <v>2430.58</v>
      </c>
      <c r="D579" s="1">
        <f ca="1">IFERROR(__xludf.DUMMYFUNCTION("""COMPUTED_VALUE"""),2417.35)</f>
        <v>2417.35</v>
      </c>
      <c r="E579" s="1">
        <f ca="1">IFERROR(__xludf.DUMMYFUNCTION("""COMPUTED_VALUE"""),2428.37)</f>
        <v>2428.37</v>
      </c>
      <c r="F579" s="1">
        <f ca="1">IFERROR(__xludf.DUMMYFUNCTION("""COMPUTED_VALUE"""),1635773789)</f>
        <v>1635773789</v>
      </c>
    </row>
    <row r="580" spans="1:6" ht="13" x14ac:dyDescent="0.15">
      <c r="A580" s="2">
        <f ca="1">IFERROR(__xludf.DUMMYFUNCTION("""COMPUTED_VALUE"""),42969.6666666666)</f>
        <v>42969.666666666599</v>
      </c>
      <c r="B580" s="1">
        <f ca="1">IFERROR(__xludf.DUMMYFUNCTION("""COMPUTED_VALUE"""),2433.75)</f>
        <v>2433.75</v>
      </c>
      <c r="C580" s="1">
        <f ca="1">IFERROR(__xludf.DUMMYFUNCTION("""COMPUTED_VALUE"""),2454.77)</f>
        <v>2454.77</v>
      </c>
      <c r="D580" s="1">
        <f ca="1">IFERROR(__xludf.DUMMYFUNCTION("""COMPUTED_VALUE"""),2433.67)</f>
        <v>2433.67</v>
      </c>
      <c r="E580" s="1">
        <f ca="1">IFERROR(__xludf.DUMMYFUNCTION("""COMPUTED_VALUE"""),2452.51)</f>
        <v>2452.5100000000002</v>
      </c>
      <c r="F580" s="1">
        <f ca="1">IFERROR(__xludf.DUMMYFUNCTION("""COMPUTED_VALUE"""),1588713900)</f>
        <v>1588713900</v>
      </c>
    </row>
    <row r="581" spans="1:6" ht="13" x14ac:dyDescent="0.15">
      <c r="A581" s="2">
        <f ca="1">IFERROR(__xludf.DUMMYFUNCTION("""COMPUTED_VALUE"""),42970.6666666666)</f>
        <v>42970.666666666599</v>
      </c>
      <c r="B581" s="1">
        <f ca="1">IFERROR(__xludf.DUMMYFUNCTION("""COMPUTED_VALUE"""),2444.88)</f>
        <v>2444.88</v>
      </c>
      <c r="C581" s="1">
        <f ca="1">IFERROR(__xludf.DUMMYFUNCTION("""COMPUTED_VALUE"""),2448.91)</f>
        <v>2448.91</v>
      </c>
      <c r="D581" s="1">
        <f ca="1">IFERROR(__xludf.DUMMYFUNCTION("""COMPUTED_VALUE"""),2441.42)</f>
        <v>2441.42</v>
      </c>
      <c r="E581" s="1">
        <f ca="1">IFERROR(__xludf.DUMMYFUNCTION("""COMPUTED_VALUE"""),2444.04)</f>
        <v>2444.04</v>
      </c>
      <c r="F581" s="1">
        <f ca="1">IFERROR(__xludf.DUMMYFUNCTION("""COMPUTED_VALUE"""),1583454204)</f>
        <v>1583454204</v>
      </c>
    </row>
    <row r="582" spans="1:6" ht="13" x14ac:dyDescent="0.15">
      <c r="A582" s="2">
        <f ca="1">IFERROR(__xludf.DUMMYFUNCTION("""COMPUTED_VALUE"""),42971.6666666666)</f>
        <v>42971.666666666599</v>
      </c>
      <c r="B582" s="1">
        <f ca="1">IFERROR(__xludf.DUMMYFUNCTION("""COMPUTED_VALUE"""),2447.91)</f>
        <v>2447.91</v>
      </c>
      <c r="C582" s="1">
        <f ca="1">IFERROR(__xludf.DUMMYFUNCTION("""COMPUTED_VALUE"""),2450.39)</f>
        <v>2450.39</v>
      </c>
      <c r="D582" s="1">
        <f ca="1">IFERROR(__xludf.DUMMYFUNCTION("""COMPUTED_VALUE"""),2436.19)</f>
        <v>2436.19</v>
      </c>
      <c r="E582" s="1">
        <f ca="1">IFERROR(__xludf.DUMMYFUNCTION("""COMPUTED_VALUE"""),2438.97)</f>
        <v>2438.9699999999998</v>
      </c>
      <c r="F582" s="1">
        <f ca="1">IFERROR(__xludf.DUMMYFUNCTION("""COMPUTED_VALUE"""),1678956575)</f>
        <v>1678956575</v>
      </c>
    </row>
    <row r="583" spans="1:6" ht="13" x14ac:dyDescent="0.15">
      <c r="A583" s="2">
        <f ca="1">IFERROR(__xludf.DUMMYFUNCTION("""COMPUTED_VALUE"""),42972.6666666666)</f>
        <v>42972.666666666599</v>
      </c>
      <c r="B583" s="1">
        <f ca="1">IFERROR(__xludf.DUMMYFUNCTION("""COMPUTED_VALUE"""),2444.72)</f>
        <v>2444.7199999999998</v>
      </c>
      <c r="C583" s="1">
        <f ca="1">IFERROR(__xludf.DUMMYFUNCTION("""COMPUTED_VALUE"""),2453.96)</f>
        <v>2453.96</v>
      </c>
      <c r="D583" s="1">
        <f ca="1">IFERROR(__xludf.DUMMYFUNCTION("""COMPUTED_VALUE"""),2442.22)</f>
        <v>2442.2199999999998</v>
      </c>
      <c r="E583" s="1">
        <f ca="1">IFERROR(__xludf.DUMMYFUNCTION("""COMPUTED_VALUE"""),2443.05)</f>
        <v>2443.0500000000002</v>
      </c>
      <c r="F583" s="1">
        <f ca="1">IFERROR(__xludf.DUMMYFUNCTION("""COMPUTED_VALUE"""),1500901045)</f>
        <v>1500901045</v>
      </c>
    </row>
    <row r="584" spans="1:6" ht="13" x14ac:dyDescent="0.15">
      <c r="A584" s="2">
        <f ca="1">IFERROR(__xludf.DUMMYFUNCTION("""COMPUTED_VALUE"""),42975.6666666666)</f>
        <v>42975.666666666599</v>
      </c>
      <c r="B584" s="1">
        <f ca="1">IFERROR(__xludf.DUMMYFUNCTION("""COMPUTED_VALUE"""),2447.35)</f>
        <v>2447.35</v>
      </c>
      <c r="C584" s="1">
        <f ca="1">IFERROR(__xludf.DUMMYFUNCTION("""COMPUTED_VALUE"""),2449.12)</f>
        <v>2449.12</v>
      </c>
      <c r="D584" s="1">
        <f ca="1">IFERROR(__xludf.DUMMYFUNCTION("""COMPUTED_VALUE"""),2439.03)</f>
        <v>2439.0300000000002</v>
      </c>
      <c r="E584" s="1">
        <f ca="1">IFERROR(__xludf.DUMMYFUNCTION("""COMPUTED_VALUE"""),2444.24)</f>
        <v>2444.2399999999998</v>
      </c>
      <c r="F584" s="1">
        <f ca="1">IFERROR(__xludf.DUMMYFUNCTION("""COMPUTED_VALUE"""),1466541776)</f>
        <v>1466541776</v>
      </c>
    </row>
    <row r="585" spans="1:6" ht="13" x14ac:dyDescent="0.15">
      <c r="A585" s="2">
        <f ca="1">IFERROR(__xludf.DUMMYFUNCTION("""COMPUTED_VALUE"""),42976.6666666666)</f>
        <v>42976.666666666599</v>
      </c>
      <c r="B585" s="1">
        <f ca="1">IFERROR(__xludf.DUMMYFUNCTION("""COMPUTED_VALUE"""),2431.94)</f>
        <v>2431.94</v>
      </c>
      <c r="C585" s="1">
        <f ca="1">IFERROR(__xludf.DUMMYFUNCTION("""COMPUTED_VALUE"""),2449.19)</f>
        <v>2449.19</v>
      </c>
      <c r="D585" s="1">
        <f ca="1">IFERROR(__xludf.DUMMYFUNCTION("""COMPUTED_VALUE"""),2428.2)</f>
        <v>2428.1999999999998</v>
      </c>
      <c r="E585" s="1">
        <f ca="1">IFERROR(__xludf.DUMMYFUNCTION("""COMPUTED_VALUE"""),2446.3)</f>
        <v>2446.3000000000002</v>
      </c>
      <c r="F585" s="1">
        <f ca="1">IFERROR(__xludf.DUMMYFUNCTION("""COMPUTED_VALUE"""),1503811225)</f>
        <v>1503811225</v>
      </c>
    </row>
    <row r="586" spans="1:6" ht="13" x14ac:dyDescent="0.15">
      <c r="A586" s="2">
        <f ca="1">IFERROR(__xludf.DUMMYFUNCTION("""COMPUTED_VALUE"""),42977.6666666666)</f>
        <v>42977.666666666599</v>
      </c>
      <c r="B586" s="1">
        <f ca="1">IFERROR(__xludf.DUMMYFUNCTION("""COMPUTED_VALUE"""),2446.06)</f>
        <v>2446.06</v>
      </c>
      <c r="C586" s="1">
        <f ca="1">IFERROR(__xludf.DUMMYFUNCTION("""COMPUTED_VALUE"""),2460.31)</f>
        <v>2460.31</v>
      </c>
      <c r="D586" s="1">
        <f ca="1">IFERROR(__xludf.DUMMYFUNCTION("""COMPUTED_VALUE"""),2443.77)</f>
        <v>2443.77</v>
      </c>
      <c r="E586" s="1">
        <f ca="1">IFERROR(__xludf.DUMMYFUNCTION("""COMPUTED_VALUE"""),2457.59)</f>
        <v>2457.59</v>
      </c>
      <c r="F586" s="1">
        <f ca="1">IFERROR(__xludf.DUMMYFUNCTION("""COMPUTED_VALUE"""),1552245818)</f>
        <v>1552245818</v>
      </c>
    </row>
    <row r="587" spans="1:6" ht="13" x14ac:dyDescent="0.15">
      <c r="A587" s="2">
        <f ca="1">IFERROR(__xludf.DUMMYFUNCTION("""COMPUTED_VALUE"""),42978.6666666666)</f>
        <v>42978.666666666599</v>
      </c>
      <c r="B587" s="1">
        <f ca="1">IFERROR(__xludf.DUMMYFUNCTION("""COMPUTED_VALUE"""),2462.65)</f>
        <v>2462.65</v>
      </c>
      <c r="C587" s="1">
        <f ca="1">IFERROR(__xludf.DUMMYFUNCTION("""COMPUTED_VALUE"""),2475.01)</f>
        <v>2475.0100000000002</v>
      </c>
      <c r="D587" s="1">
        <f ca="1">IFERROR(__xludf.DUMMYFUNCTION("""COMPUTED_VALUE"""),2462.65)</f>
        <v>2462.65</v>
      </c>
      <c r="E587" s="1">
        <f ca="1">IFERROR(__xludf.DUMMYFUNCTION("""COMPUTED_VALUE"""),2471.65)</f>
        <v>2471.65</v>
      </c>
      <c r="F587" s="1">
        <f ca="1">IFERROR(__xludf.DUMMYFUNCTION("""COMPUTED_VALUE"""),2076949466)</f>
        <v>2076949466</v>
      </c>
    </row>
    <row r="588" spans="1:6" ht="13" x14ac:dyDescent="0.15">
      <c r="A588" s="2">
        <f ca="1">IFERROR(__xludf.DUMMYFUNCTION("""COMPUTED_VALUE"""),42979.6666666666)</f>
        <v>42979.666666666599</v>
      </c>
      <c r="B588" s="1">
        <f ca="1">IFERROR(__xludf.DUMMYFUNCTION("""COMPUTED_VALUE"""),2474.42)</f>
        <v>2474.42</v>
      </c>
      <c r="C588" s="1">
        <f ca="1">IFERROR(__xludf.DUMMYFUNCTION("""COMPUTED_VALUE"""),2480.38)</f>
        <v>2480.38</v>
      </c>
      <c r="D588" s="1">
        <f ca="1">IFERROR(__xludf.DUMMYFUNCTION("""COMPUTED_VALUE"""),2473.85)</f>
        <v>2473.85</v>
      </c>
      <c r="E588" s="1">
        <f ca="1">IFERROR(__xludf.DUMMYFUNCTION("""COMPUTED_VALUE"""),2476.55)</f>
        <v>2476.5500000000002</v>
      </c>
      <c r="F588" s="1">
        <f ca="1">IFERROR(__xludf.DUMMYFUNCTION("""COMPUTED_VALUE"""),1581548754)</f>
        <v>1581548754</v>
      </c>
    </row>
    <row r="589" spans="1:6" ht="13" x14ac:dyDescent="0.15">
      <c r="A589" s="2">
        <f ca="1">IFERROR(__xludf.DUMMYFUNCTION("""COMPUTED_VALUE"""),42983.6666666666)</f>
        <v>42983.666666666599</v>
      </c>
      <c r="B589" s="1">
        <f ca="1">IFERROR(__xludf.DUMMYFUNCTION("""COMPUTED_VALUE"""),2470.35)</f>
        <v>2470.35</v>
      </c>
      <c r="C589" s="1">
        <f ca="1">IFERROR(__xludf.DUMMYFUNCTION("""COMPUTED_VALUE"""),2471.97)</f>
        <v>2471.9699999999998</v>
      </c>
      <c r="D589" s="1">
        <f ca="1">IFERROR(__xludf.DUMMYFUNCTION("""COMPUTED_VALUE"""),2446.55)</f>
        <v>2446.5500000000002</v>
      </c>
      <c r="E589" s="1">
        <f ca="1">IFERROR(__xludf.DUMMYFUNCTION("""COMPUTED_VALUE"""),2457.85)</f>
        <v>2457.85</v>
      </c>
      <c r="F589" s="1">
        <f ca="1">IFERROR(__xludf.DUMMYFUNCTION("""COMPUTED_VALUE"""),2114362534)</f>
        <v>2114362534</v>
      </c>
    </row>
    <row r="590" spans="1:6" ht="13" x14ac:dyDescent="0.15">
      <c r="A590" s="2">
        <f ca="1">IFERROR(__xludf.DUMMYFUNCTION("""COMPUTED_VALUE"""),42984.6666666666)</f>
        <v>42984.666666666599</v>
      </c>
      <c r="B590" s="1">
        <f ca="1">IFERROR(__xludf.DUMMYFUNCTION("""COMPUTED_VALUE"""),2463.83)</f>
        <v>2463.83</v>
      </c>
      <c r="C590" s="1">
        <f ca="1">IFERROR(__xludf.DUMMYFUNCTION("""COMPUTED_VALUE"""),2469.64)</f>
        <v>2469.64</v>
      </c>
      <c r="D590" s="1">
        <f ca="1">IFERROR(__xludf.DUMMYFUNCTION("""COMPUTED_VALUE"""),2459.2)</f>
        <v>2459.1999999999998</v>
      </c>
      <c r="E590" s="1">
        <f ca="1">IFERROR(__xludf.DUMMYFUNCTION("""COMPUTED_VALUE"""),2465.54)</f>
        <v>2465.54</v>
      </c>
      <c r="F590" s="1">
        <f ca="1">IFERROR(__xludf.DUMMYFUNCTION("""COMPUTED_VALUE"""),2049759055)</f>
        <v>2049759055</v>
      </c>
    </row>
    <row r="591" spans="1:6" ht="13" x14ac:dyDescent="0.15">
      <c r="A591" s="2">
        <f ca="1">IFERROR(__xludf.DUMMYFUNCTION("""COMPUTED_VALUE"""),42985.6666666666)</f>
        <v>42985.666666666599</v>
      </c>
      <c r="B591" s="1">
        <f ca="1">IFERROR(__xludf.DUMMYFUNCTION("""COMPUTED_VALUE"""),2468.06)</f>
        <v>2468.06</v>
      </c>
      <c r="C591" s="1">
        <f ca="1">IFERROR(__xludf.DUMMYFUNCTION("""COMPUTED_VALUE"""),2468.62)</f>
        <v>2468.62</v>
      </c>
      <c r="D591" s="1">
        <f ca="1">IFERROR(__xludf.DUMMYFUNCTION("""COMPUTED_VALUE"""),2460.29)</f>
        <v>2460.29</v>
      </c>
      <c r="E591" s="1">
        <f ca="1">IFERROR(__xludf.DUMMYFUNCTION("""COMPUTED_VALUE"""),2465.1)</f>
        <v>2465.1</v>
      </c>
      <c r="F591" s="1">
        <f ca="1">IFERROR(__xludf.DUMMYFUNCTION("""COMPUTED_VALUE"""),2097113822)</f>
        <v>2097113822</v>
      </c>
    </row>
    <row r="592" spans="1:6" ht="13" x14ac:dyDescent="0.15">
      <c r="A592" s="2">
        <f ca="1">IFERROR(__xludf.DUMMYFUNCTION("""COMPUTED_VALUE"""),42986.6666666666)</f>
        <v>42986.666666666599</v>
      </c>
      <c r="B592" s="1">
        <f ca="1">IFERROR(__xludf.DUMMYFUNCTION("""COMPUTED_VALUE"""),2462.25)</f>
        <v>2462.25</v>
      </c>
      <c r="C592" s="1">
        <f ca="1">IFERROR(__xludf.DUMMYFUNCTION("""COMPUTED_VALUE"""),2467.11)</f>
        <v>2467.11</v>
      </c>
      <c r="D592" s="1">
        <f ca="1">IFERROR(__xludf.DUMMYFUNCTION("""COMPUTED_VALUE"""),2459.4)</f>
        <v>2459.4</v>
      </c>
      <c r="E592" s="1">
        <f ca="1">IFERROR(__xludf.DUMMYFUNCTION("""COMPUTED_VALUE"""),2461.43)</f>
        <v>2461.4299999999998</v>
      </c>
      <c r="F592" s="1">
        <f ca="1">IFERROR(__xludf.DUMMYFUNCTION("""COMPUTED_VALUE"""),2003871859)</f>
        <v>2003871859</v>
      </c>
    </row>
    <row r="593" spans="1:6" ht="13" x14ac:dyDescent="0.15">
      <c r="A593" s="2">
        <f ca="1">IFERROR(__xludf.DUMMYFUNCTION("""COMPUTED_VALUE"""),42989.6666666666)</f>
        <v>42989.666666666599</v>
      </c>
      <c r="B593" s="1">
        <f ca="1">IFERROR(__xludf.DUMMYFUNCTION("""COMPUTED_VALUE"""),2474.52)</f>
        <v>2474.52</v>
      </c>
      <c r="C593" s="1">
        <f ca="1">IFERROR(__xludf.DUMMYFUNCTION("""COMPUTED_VALUE"""),2488.95)</f>
        <v>2488.9499999999998</v>
      </c>
      <c r="D593" s="1">
        <f ca="1">IFERROR(__xludf.DUMMYFUNCTION("""COMPUTED_VALUE"""),2474.52)</f>
        <v>2474.52</v>
      </c>
      <c r="E593" s="1">
        <f ca="1">IFERROR(__xludf.DUMMYFUNCTION("""COMPUTED_VALUE"""),2488.11)</f>
        <v>2488.11</v>
      </c>
      <c r="F593" s="1">
        <f ca="1">IFERROR(__xludf.DUMMYFUNCTION("""COMPUTED_VALUE"""),1933077168)</f>
        <v>1933077168</v>
      </c>
    </row>
    <row r="594" spans="1:6" ht="13" x14ac:dyDescent="0.15">
      <c r="A594" s="2">
        <f ca="1">IFERROR(__xludf.DUMMYFUNCTION("""COMPUTED_VALUE"""),42990.6666666666)</f>
        <v>42990.666666666599</v>
      </c>
      <c r="B594" s="1">
        <f ca="1">IFERROR(__xludf.DUMMYFUNCTION("""COMPUTED_VALUE"""),2491.94)</f>
        <v>2491.94</v>
      </c>
      <c r="C594" s="1">
        <f ca="1">IFERROR(__xludf.DUMMYFUNCTION("""COMPUTED_VALUE"""),2496.77)</f>
        <v>2496.77</v>
      </c>
      <c r="D594" s="1">
        <f ca="1">IFERROR(__xludf.DUMMYFUNCTION("""COMPUTED_VALUE"""),2490.37)</f>
        <v>2490.37</v>
      </c>
      <c r="E594" s="1">
        <f ca="1">IFERROR(__xludf.DUMMYFUNCTION("""COMPUTED_VALUE"""),2496.48)</f>
        <v>2496.48</v>
      </c>
      <c r="F594" s="1">
        <f ca="1">IFERROR(__xludf.DUMMYFUNCTION("""COMPUTED_VALUE"""),1937393633)</f>
        <v>1937393633</v>
      </c>
    </row>
    <row r="595" spans="1:6" ht="13" x14ac:dyDescent="0.15">
      <c r="A595" s="2">
        <f ca="1">IFERROR(__xludf.DUMMYFUNCTION("""COMPUTED_VALUE"""),42991.6666666666)</f>
        <v>42991.666666666599</v>
      </c>
      <c r="B595" s="1">
        <f ca="1">IFERROR(__xludf.DUMMYFUNCTION("""COMPUTED_VALUE"""),2493.89)</f>
        <v>2493.89</v>
      </c>
      <c r="C595" s="1">
        <f ca="1">IFERROR(__xludf.DUMMYFUNCTION("""COMPUTED_VALUE"""),2498.37)</f>
        <v>2498.37</v>
      </c>
      <c r="D595" s="1">
        <f ca="1">IFERROR(__xludf.DUMMYFUNCTION("""COMPUTED_VALUE"""),2492.14)</f>
        <v>2492.14</v>
      </c>
      <c r="E595" s="1">
        <f ca="1">IFERROR(__xludf.DUMMYFUNCTION("""COMPUTED_VALUE"""),2498.37)</f>
        <v>2498.37</v>
      </c>
      <c r="F595" s="1">
        <f ca="1">IFERROR(__xludf.DUMMYFUNCTION("""COMPUTED_VALUE"""),1897322876)</f>
        <v>1897322876</v>
      </c>
    </row>
    <row r="596" spans="1:6" ht="13" x14ac:dyDescent="0.15">
      <c r="A596" s="2">
        <f ca="1">IFERROR(__xludf.DUMMYFUNCTION("""COMPUTED_VALUE"""),42992.6666666666)</f>
        <v>42992.666666666599</v>
      </c>
      <c r="B596" s="1">
        <f ca="1">IFERROR(__xludf.DUMMYFUNCTION("""COMPUTED_VALUE"""),2494.56)</f>
        <v>2494.56</v>
      </c>
      <c r="C596" s="1">
        <f ca="1">IFERROR(__xludf.DUMMYFUNCTION("""COMPUTED_VALUE"""),2498.43)</f>
        <v>2498.4299999999998</v>
      </c>
      <c r="D596" s="1">
        <f ca="1">IFERROR(__xludf.DUMMYFUNCTION("""COMPUTED_VALUE"""),2491.35)</f>
        <v>2491.35</v>
      </c>
      <c r="E596" s="1">
        <f ca="1">IFERROR(__xludf.DUMMYFUNCTION("""COMPUTED_VALUE"""),2495.62)</f>
        <v>2495.62</v>
      </c>
      <c r="F596" s="1">
        <f ca="1">IFERROR(__xludf.DUMMYFUNCTION("""COMPUTED_VALUE"""),1916765069)</f>
        <v>1916765069</v>
      </c>
    </row>
    <row r="597" spans="1:6" ht="13" x14ac:dyDescent="0.15">
      <c r="A597" s="2">
        <f ca="1">IFERROR(__xludf.DUMMYFUNCTION("""COMPUTED_VALUE"""),42993.6666666666)</f>
        <v>42993.666666666599</v>
      </c>
      <c r="B597" s="1">
        <f ca="1">IFERROR(__xludf.DUMMYFUNCTION("""COMPUTED_VALUE"""),2495.67)</f>
        <v>2495.67</v>
      </c>
      <c r="C597" s="1">
        <f ca="1">IFERROR(__xludf.DUMMYFUNCTION("""COMPUTED_VALUE"""),2500.23)</f>
        <v>2500.23</v>
      </c>
      <c r="D597" s="1">
        <f ca="1">IFERROR(__xludf.DUMMYFUNCTION("""COMPUTED_VALUE"""),2493.16)</f>
        <v>2493.16</v>
      </c>
      <c r="E597" s="1">
        <f ca="1">IFERROR(__xludf.DUMMYFUNCTION("""COMPUTED_VALUE"""),2500.23)</f>
        <v>2500.23</v>
      </c>
      <c r="F597" s="1">
        <f ca="1">IFERROR(__xludf.DUMMYFUNCTION("""COMPUTED_VALUE"""),3038855557)</f>
        <v>3038855557</v>
      </c>
    </row>
    <row r="598" spans="1:6" ht="13" x14ac:dyDescent="0.15">
      <c r="A598" s="2">
        <f ca="1">IFERROR(__xludf.DUMMYFUNCTION("""COMPUTED_VALUE"""),42996.6666666666)</f>
        <v>42996.666666666599</v>
      </c>
      <c r="B598" s="1">
        <f ca="1">IFERROR(__xludf.DUMMYFUNCTION("""COMPUTED_VALUE"""),2502.51)</f>
        <v>2502.5100000000002</v>
      </c>
      <c r="C598" s="1">
        <f ca="1">IFERROR(__xludf.DUMMYFUNCTION("""COMPUTED_VALUE"""),2508.32)</f>
        <v>2508.3200000000002</v>
      </c>
      <c r="D598" s="1">
        <f ca="1">IFERROR(__xludf.DUMMYFUNCTION("""COMPUTED_VALUE"""),2499.92)</f>
        <v>2499.92</v>
      </c>
      <c r="E598" s="1">
        <f ca="1">IFERROR(__xludf.DUMMYFUNCTION("""COMPUTED_VALUE"""),2503.87)</f>
        <v>2503.87</v>
      </c>
      <c r="F598" s="1">
        <f ca="1">IFERROR(__xludf.DUMMYFUNCTION("""COMPUTED_VALUE"""),1922720626)</f>
        <v>1922720626</v>
      </c>
    </row>
    <row r="599" spans="1:6" ht="13" x14ac:dyDescent="0.15">
      <c r="A599" s="2">
        <f ca="1">IFERROR(__xludf.DUMMYFUNCTION("""COMPUTED_VALUE"""),42997.6666666666)</f>
        <v>42997.666666666599</v>
      </c>
      <c r="B599" s="1">
        <f ca="1">IFERROR(__xludf.DUMMYFUNCTION("""COMPUTED_VALUE"""),2506.29)</f>
        <v>2506.29</v>
      </c>
      <c r="C599" s="1">
        <f ca="1">IFERROR(__xludf.DUMMYFUNCTION("""COMPUTED_VALUE"""),2507.84)</f>
        <v>2507.84</v>
      </c>
      <c r="D599" s="1">
        <f ca="1">IFERROR(__xludf.DUMMYFUNCTION("""COMPUTED_VALUE"""),2503.19)</f>
        <v>2503.19</v>
      </c>
      <c r="E599" s="1">
        <f ca="1">IFERROR(__xludf.DUMMYFUNCTION("""COMPUTED_VALUE"""),2506.65)</f>
        <v>2506.65</v>
      </c>
      <c r="F599" s="1">
        <f ca="1">IFERROR(__xludf.DUMMYFUNCTION("""COMPUTED_VALUE"""),1920071498)</f>
        <v>1920071498</v>
      </c>
    </row>
    <row r="600" spans="1:6" ht="13" x14ac:dyDescent="0.15">
      <c r="A600" s="2">
        <f ca="1">IFERROR(__xludf.DUMMYFUNCTION("""COMPUTED_VALUE"""),42998.6666666666)</f>
        <v>42998.666666666599</v>
      </c>
      <c r="B600" s="1">
        <f ca="1">IFERROR(__xludf.DUMMYFUNCTION("""COMPUTED_VALUE"""),2506.84)</f>
        <v>2506.84</v>
      </c>
      <c r="C600" s="1">
        <f ca="1">IFERROR(__xludf.DUMMYFUNCTION("""COMPUTED_VALUE"""),2508.85)</f>
        <v>2508.85</v>
      </c>
      <c r="D600" s="1">
        <f ca="1">IFERROR(__xludf.DUMMYFUNCTION("""COMPUTED_VALUE"""),2496.67)</f>
        <v>2496.67</v>
      </c>
      <c r="E600" s="1">
        <f ca="1">IFERROR(__xludf.DUMMYFUNCTION("""COMPUTED_VALUE"""),2508.24)</f>
        <v>2508.2399999999998</v>
      </c>
      <c r="F600" s="1">
        <f ca="1">IFERROR(__xludf.DUMMYFUNCTION("""COMPUTED_VALUE"""),2066413790)</f>
        <v>2066413790</v>
      </c>
    </row>
    <row r="601" spans="1:6" ht="13" x14ac:dyDescent="0.15">
      <c r="A601" s="2">
        <f ca="1">IFERROR(__xludf.DUMMYFUNCTION("""COMPUTED_VALUE"""),42999.6666666666)</f>
        <v>42999.666666666599</v>
      </c>
      <c r="B601" s="1">
        <f ca="1">IFERROR(__xludf.DUMMYFUNCTION("""COMPUTED_VALUE"""),2507.16)</f>
        <v>2507.16</v>
      </c>
      <c r="C601" s="1">
        <f ca="1">IFERROR(__xludf.DUMMYFUNCTION("""COMPUTED_VALUE"""),2507.16)</f>
        <v>2507.16</v>
      </c>
      <c r="D601" s="1">
        <f ca="1">IFERROR(__xludf.DUMMYFUNCTION("""COMPUTED_VALUE"""),2499)</f>
        <v>2499</v>
      </c>
      <c r="E601" s="1">
        <f ca="1">IFERROR(__xludf.DUMMYFUNCTION("""COMPUTED_VALUE"""),2500.6)</f>
        <v>2500.6</v>
      </c>
      <c r="F601" s="1">
        <f ca="1">IFERROR(__xludf.DUMMYFUNCTION("""COMPUTED_VALUE"""),1811929140)</f>
        <v>1811929140</v>
      </c>
    </row>
    <row r="602" spans="1:6" ht="13" x14ac:dyDescent="0.15">
      <c r="A602" s="2">
        <f ca="1">IFERROR(__xludf.DUMMYFUNCTION("""COMPUTED_VALUE"""),43000.6666666666)</f>
        <v>43000.666666666599</v>
      </c>
      <c r="B602" s="1">
        <f ca="1">IFERROR(__xludf.DUMMYFUNCTION("""COMPUTED_VALUE"""),2497.26)</f>
        <v>2497.2600000000002</v>
      </c>
      <c r="C602" s="1">
        <f ca="1">IFERROR(__xludf.DUMMYFUNCTION("""COMPUTED_VALUE"""),2503.47)</f>
        <v>2503.4699999999998</v>
      </c>
      <c r="D602" s="1">
        <f ca="1">IFERROR(__xludf.DUMMYFUNCTION("""COMPUTED_VALUE"""),2496.54)</f>
        <v>2496.54</v>
      </c>
      <c r="E602" s="1">
        <f ca="1">IFERROR(__xludf.DUMMYFUNCTION("""COMPUTED_VALUE"""),2502.22)</f>
        <v>2502.2199999999998</v>
      </c>
      <c r="F602" s="1">
        <f ca="1">IFERROR(__xludf.DUMMYFUNCTION("""COMPUTED_VALUE"""),1672336528)</f>
        <v>1672336528</v>
      </c>
    </row>
    <row r="603" spans="1:6" ht="13" x14ac:dyDescent="0.15">
      <c r="A603" s="2">
        <f ca="1">IFERROR(__xludf.DUMMYFUNCTION("""COMPUTED_VALUE"""),43003.6666666666)</f>
        <v>43003.666666666599</v>
      </c>
      <c r="B603" s="1">
        <f ca="1">IFERROR(__xludf.DUMMYFUNCTION("""COMPUTED_VALUE"""),2499.39)</f>
        <v>2499.39</v>
      </c>
      <c r="C603" s="1">
        <f ca="1">IFERROR(__xludf.DUMMYFUNCTION("""COMPUTED_VALUE"""),2502.54)</f>
        <v>2502.54</v>
      </c>
      <c r="D603" s="1">
        <f ca="1">IFERROR(__xludf.DUMMYFUNCTION("""COMPUTED_VALUE"""),2488.03)</f>
        <v>2488.0300000000002</v>
      </c>
      <c r="E603" s="1">
        <f ca="1">IFERROR(__xludf.DUMMYFUNCTION("""COMPUTED_VALUE"""),2496.66)</f>
        <v>2496.66</v>
      </c>
      <c r="F603" s="1">
        <f ca="1">IFERROR(__xludf.DUMMYFUNCTION("""COMPUTED_VALUE"""),2033920239)</f>
        <v>2033920239</v>
      </c>
    </row>
    <row r="604" spans="1:6" ht="13" x14ac:dyDescent="0.15">
      <c r="A604" s="2">
        <f ca="1">IFERROR(__xludf.DUMMYFUNCTION("""COMPUTED_VALUE"""),43004.6666666666)</f>
        <v>43004.666666666599</v>
      </c>
      <c r="B604" s="1">
        <f ca="1">IFERROR(__xludf.DUMMYFUNCTION("""COMPUTED_VALUE"""),2501.04)</f>
        <v>2501.04</v>
      </c>
      <c r="C604" s="1">
        <f ca="1">IFERROR(__xludf.DUMMYFUNCTION("""COMPUTED_VALUE"""),2503.51)</f>
        <v>2503.5100000000002</v>
      </c>
      <c r="D604" s="1">
        <f ca="1">IFERROR(__xludf.DUMMYFUNCTION("""COMPUTED_VALUE"""),2495.12)</f>
        <v>2495.12</v>
      </c>
      <c r="E604" s="1">
        <f ca="1">IFERROR(__xludf.DUMMYFUNCTION("""COMPUTED_VALUE"""),2496.84)</f>
        <v>2496.84</v>
      </c>
      <c r="F604" s="1">
        <f ca="1">IFERROR(__xludf.DUMMYFUNCTION("""COMPUTED_VALUE"""),1822049412)</f>
        <v>1822049412</v>
      </c>
    </row>
    <row r="605" spans="1:6" ht="13" x14ac:dyDescent="0.15">
      <c r="A605" s="2">
        <f ca="1">IFERROR(__xludf.DUMMYFUNCTION("""COMPUTED_VALUE"""),43005.6666666666)</f>
        <v>43005.666666666599</v>
      </c>
      <c r="B605" s="1">
        <f ca="1">IFERROR(__xludf.DUMMYFUNCTION("""COMPUTED_VALUE"""),2503.3)</f>
        <v>2503.3000000000002</v>
      </c>
      <c r="C605" s="1">
        <f ca="1">IFERROR(__xludf.DUMMYFUNCTION("""COMPUTED_VALUE"""),2511.75)</f>
        <v>2511.75</v>
      </c>
      <c r="D605" s="1">
        <f ca="1">IFERROR(__xludf.DUMMYFUNCTION("""COMPUTED_VALUE"""),2495.91)</f>
        <v>2495.91</v>
      </c>
      <c r="E605" s="1">
        <f ca="1">IFERROR(__xludf.DUMMYFUNCTION("""COMPUTED_VALUE"""),2507.04)</f>
        <v>2507.04</v>
      </c>
      <c r="F605" s="1">
        <f ca="1">IFERROR(__xludf.DUMMYFUNCTION("""COMPUTED_VALUE"""),2035326226)</f>
        <v>2035326226</v>
      </c>
    </row>
    <row r="606" spans="1:6" ht="13" x14ac:dyDescent="0.15">
      <c r="A606" s="2">
        <f ca="1">IFERROR(__xludf.DUMMYFUNCTION("""COMPUTED_VALUE"""),43006.6666666666)</f>
        <v>43006.666666666599</v>
      </c>
      <c r="B606" s="1">
        <f ca="1">IFERROR(__xludf.DUMMYFUNCTION("""COMPUTED_VALUE"""),2503.41)</f>
        <v>2503.41</v>
      </c>
      <c r="C606" s="1">
        <f ca="1">IFERROR(__xludf.DUMMYFUNCTION("""COMPUTED_VALUE"""),2510.81)</f>
        <v>2510.81</v>
      </c>
      <c r="D606" s="1">
        <f ca="1">IFERROR(__xludf.DUMMYFUNCTION("""COMPUTED_VALUE"""),2502.93)</f>
        <v>2502.9299999999998</v>
      </c>
      <c r="E606" s="1">
        <f ca="1">IFERROR(__xludf.DUMMYFUNCTION("""COMPUTED_VALUE"""),2510.06)</f>
        <v>2510.06</v>
      </c>
      <c r="F606" s="1">
        <f ca="1">IFERROR(__xludf.DUMMYFUNCTION("""COMPUTED_VALUE"""),1782169892)</f>
        <v>1782169892</v>
      </c>
    </row>
    <row r="607" spans="1:6" ht="13" x14ac:dyDescent="0.15">
      <c r="A607" s="2">
        <f ca="1">IFERROR(__xludf.DUMMYFUNCTION("""COMPUTED_VALUE"""),43007.6666666666)</f>
        <v>43007.666666666599</v>
      </c>
      <c r="B607" s="1">
        <f ca="1">IFERROR(__xludf.DUMMYFUNCTION("""COMPUTED_VALUE"""),2509.96)</f>
        <v>2509.96</v>
      </c>
      <c r="C607" s="1">
        <f ca="1">IFERROR(__xludf.DUMMYFUNCTION("""COMPUTED_VALUE"""),2519.44)</f>
        <v>2519.44</v>
      </c>
      <c r="D607" s="1">
        <f ca="1">IFERROR(__xludf.DUMMYFUNCTION("""COMPUTED_VALUE"""),2507.99)</f>
        <v>2507.9899999999998</v>
      </c>
      <c r="E607" s="1">
        <f ca="1">IFERROR(__xludf.DUMMYFUNCTION("""COMPUTED_VALUE"""),2519.36)</f>
        <v>2519.36</v>
      </c>
      <c r="F607" s="1">
        <f ca="1">IFERROR(__xludf.DUMMYFUNCTION("""COMPUTED_VALUE"""),1809911727)</f>
        <v>1809911727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07"/>
  <sheetViews>
    <sheetView workbookViewId="0"/>
  </sheetViews>
  <sheetFormatPr baseColWidth="10" defaultColWidth="14.5" defaultRowHeight="15.75" customHeight="1" x14ac:dyDescent="0.15"/>
  <cols>
    <col min="1" max="1" width="10.1640625" style="3" bestFit="1" customWidth="1"/>
    <col min="2" max="5" width="7.83203125" customWidth="1"/>
    <col min="6" max="6" width="11.5" customWidth="1"/>
  </cols>
  <sheetData>
    <row r="1" spans="1:6" ht="15.75" customHeight="1" x14ac:dyDescent="0.1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>
        <v>42131</v>
      </c>
      <c r="B2">
        <v>2079.96</v>
      </c>
      <c r="C2">
        <v>2092.9</v>
      </c>
      <c r="D2">
        <v>2074.9899999999998</v>
      </c>
      <c r="E2">
        <v>2088</v>
      </c>
      <c r="F2">
        <v>523758356</v>
      </c>
    </row>
    <row r="3" spans="1:6" ht="15.75" customHeight="1" x14ac:dyDescent="0.15">
      <c r="A3" s="3">
        <v>42132</v>
      </c>
      <c r="B3">
        <v>2092.13</v>
      </c>
      <c r="C3">
        <v>2117.66</v>
      </c>
      <c r="D3">
        <v>2092.13</v>
      </c>
      <c r="E3">
        <v>2116.1</v>
      </c>
      <c r="F3">
        <v>524517688</v>
      </c>
    </row>
    <row r="4" spans="1:6" ht="15.75" customHeight="1" x14ac:dyDescent="0.15">
      <c r="A4" s="3">
        <v>42135</v>
      </c>
      <c r="B4">
        <v>2115.56</v>
      </c>
      <c r="C4">
        <v>2117.69</v>
      </c>
      <c r="D4">
        <v>2104.58</v>
      </c>
      <c r="E4">
        <v>2105.33</v>
      </c>
      <c r="F4">
        <v>467022504</v>
      </c>
    </row>
    <row r="5" spans="1:6" ht="15.75" customHeight="1" x14ac:dyDescent="0.15">
      <c r="A5" s="3">
        <v>42136</v>
      </c>
      <c r="B5">
        <v>2102.87</v>
      </c>
      <c r="C5">
        <v>2105.06</v>
      </c>
      <c r="D5">
        <v>2085.5700000000002</v>
      </c>
      <c r="E5">
        <v>2099.12</v>
      </c>
      <c r="F5">
        <v>468682965</v>
      </c>
    </row>
    <row r="6" spans="1:6" ht="15.75" customHeight="1" x14ac:dyDescent="0.15">
      <c r="A6" s="3">
        <v>42137</v>
      </c>
      <c r="B6">
        <v>2099.62</v>
      </c>
      <c r="C6">
        <v>2110.19</v>
      </c>
      <c r="D6">
        <v>2096.04</v>
      </c>
      <c r="E6">
        <v>2098.48</v>
      </c>
      <c r="F6">
        <v>473510272</v>
      </c>
    </row>
    <row r="7" spans="1:6" ht="15.75" customHeight="1" x14ac:dyDescent="0.15">
      <c r="A7" s="3">
        <v>42138</v>
      </c>
      <c r="B7">
        <v>2100.4299999999998</v>
      </c>
      <c r="C7">
        <v>2121.4499999999998</v>
      </c>
      <c r="D7">
        <v>2100.4299999999998</v>
      </c>
      <c r="E7">
        <v>2121.1</v>
      </c>
      <c r="F7">
        <v>477949241</v>
      </c>
    </row>
    <row r="8" spans="1:6" ht="15.75" customHeight="1" x14ac:dyDescent="0.15">
      <c r="A8" s="3">
        <v>42139</v>
      </c>
      <c r="B8">
        <v>2122.0700000000002</v>
      </c>
      <c r="C8">
        <v>2123.89</v>
      </c>
      <c r="D8">
        <v>2116.79</v>
      </c>
      <c r="E8">
        <v>2122.73</v>
      </c>
      <c r="F8">
        <v>609123759</v>
      </c>
    </row>
    <row r="9" spans="1:6" ht="15.75" customHeight="1" x14ac:dyDescent="0.15">
      <c r="A9" s="3">
        <v>42142</v>
      </c>
      <c r="B9">
        <v>2121.3000000000002</v>
      </c>
      <c r="C9">
        <v>2131.7800000000002</v>
      </c>
      <c r="D9">
        <v>2120.0100000000002</v>
      </c>
      <c r="E9">
        <v>2129.1999999999998</v>
      </c>
      <c r="F9">
        <v>444239990</v>
      </c>
    </row>
    <row r="10" spans="1:6" ht="15.75" customHeight="1" x14ac:dyDescent="0.15">
      <c r="A10" s="3">
        <v>42143</v>
      </c>
      <c r="B10">
        <v>2129.4499999999998</v>
      </c>
      <c r="C10">
        <v>2133.02</v>
      </c>
      <c r="D10">
        <v>2124.5</v>
      </c>
      <c r="E10">
        <v>2127.83</v>
      </c>
      <c r="F10">
        <v>493349176</v>
      </c>
    </row>
    <row r="11" spans="1:6" ht="15.75" customHeight="1" x14ac:dyDescent="0.15">
      <c r="A11" s="3">
        <v>42144</v>
      </c>
      <c r="B11">
        <v>2127.79</v>
      </c>
      <c r="C11">
        <v>2134.7199999999998</v>
      </c>
      <c r="D11">
        <v>2122.59</v>
      </c>
      <c r="E11">
        <v>2125.85</v>
      </c>
      <c r="F11">
        <v>477723201</v>
      </c>
    </row>
    <row r="12" spans="1:6" ht="15.75" customHeight="1" x14ac:dyDescent="0.15">
      <c r="A12" s="3">
        <v>42145</v>
      </c>
      <c r="B12">
        <v>2125.5500000000002</v>
      </c>
      <c r="C12">
        <v>2134.2800000000002</v>
      </c>
      <c r="D12">
        <v>2122.9499999999998</v>
      </c>
      <c r="E12">
        <v>2130.8200000000002</v>
      </c>
      <c r="F12">
        <v>468557139</v>
      </c>
    </row>
    <row r="13" spans="1:6" ht="15.75" customHeight="1" x14ac:dyDescent="0.15">
      <c r="A13" s="3">
        <v>42146</v>
      </c>
      <c r="B13">
        <v>2130.36</v>
      </c>
      <c r="C13">
        <v>2132.15</v>
      </c>
      <c r="D13">
        <v>2126.06</v>
      </c>
      <c r="E13">
        <v>2126.06</v>
      </c>
      <c r="F13">
        <v>423419513</v>
      </c>
    </row>
    <row r="14" spans="1:6" ht="15.75" customHeight="1" x14ac:dyDescent="0.15">
      <c r="A14" s="3">
        <v>42150</v>
      </c>
      <c r="B14">
        <v>2125.34</v>
      </c>
      <c r="C14">
        <v>2125.34</v>
      </c>
      <c r="D14">
        <v>2099.1799999999998</v>
      </c>
      <c r="E14">
        <v>2104.1999999999998</v>
      </c>
      <c r="F14">
        <v>557833108</v>
      </c>
    </row>
    <row r="15" spans="1:6" ht="15.75" customHeight="1" x14ac:dyDescent="0.15">
      <c r="A15" s="3">
        <v>42151</v>
      </c>
      <c r="B15">
        <v>2105.13</v>
      </c>
      <c r="C15">
        <v>2126.2199999999998</v>
      </c>
      <c r="D15">
        <v>2105.13</v>
      </c>
      <c r="E15">
        <v>2123.48</v>
      </c>
      <c r="F15">
        <v>511248450</v>
      </c>
    </row>
    <row r="16" spans="1:6" ht="15.75" customHeight="1" x14ac:dyDescent="0.15">
      <c r="A16" s="3">
        <v>42152</v>
      </c>
      <c r="B16">
        <v>2122.27</v>
      </c>
      <c r="C16">
        <v>2122.27</v>
      </c>
      <c r="D16">
        <v>2112.86</v>
      </c>
      <c r="E16">
        <v>2120.79</v>
      </c>
      <c r="F16">
        <v>434135669</v>
      </c>
    </row>
    <row r="17" spans="1:6" ht="15.75" customHeight="1" x14ac:dyDescent="0.15">
      <c r="A17" s="3">
        <v>42153</v>
      </c>
      <c r="B17">
        <v>2120.66</v>
      </c>
      <c r="C17">
        <v>2120.66</v>
      </c>
      <c r="D17">
        <v>2104.89</v>
      </c>
      <c r="E17">
        <v>2107.39</v>
      </c>
      <c r="F17">
        <v>760129761</v>
      </c>
    </row>
    <row r="18" spans="1:6" ht="15.75" customHeight="1" x14ac:dyDescent="0.15">
      <c r="A18" s="3">
        <v>42156</v>
      </c>
      <c r="B18">
        <v>2108.64</v>
      </c>
      <c r="C18">
        <v>2119.15</v>
      </c>
      <c r="D18">
        <v>2102.54</v>
      </c>
      <c r="E18">
        <v>2111.73</v>
      </c>
      <c r="F18">
        <v>488083175</v>
      </c>
    </row>
    <row r="19" spans="1:6" ht="15.75" customHeight="1" x14ac:dyDescent="0.15">
      <c r="A19" s="3">
        <v>42157</v>
      </c>
      <c r="B19">
        <v>2110.41</v>
      </c>
      <c r="C19">
        <v>2117.59</v>
      </c>
      <c r="D19">
        <v>2099.14</v>
      </c>
      <c r="E19">
        <v>2109.6</v>
      </c>
      <c r="F19">
        <v>471166195</v>
      </c>
    </row>
    <row r="20" spans="1:6" ht="15.75" customHeight="1" x14ac:dyDescent="0.15">
      <c r="A20" s="3">
        <v>42158</v>
      </c>
      <c r="B20">
        <v>2110.64</v>
      </c>
      <c r="C20">
        <v>2121.92</v>
      </c>
      <c r="D20">
        <v>2109.61</v>
      </c>
      <c r="E20">
        <v>2114.0700000000002</v>
      </c>
      <c r="F20">
        <v>464527279</v>
      </c>
    </row>
    <row r="21" spans="1:6" ht="15.75" customHeight="1" x14ac:dyDescent="0.15">
      <c r="A21" s="3">
        <v>42159</v>
      </c>
      <c r="B21">
        <v>2112.35</v>
      </c>
      <c r="C21">
        <v>2112.89</v>
      </c>
      <c r="D21">
        <v>2093.23</v>
      </c>
      <c r="E21">
        <v>2095.84</v>
      </c>
      <c r="F21">
        <v>521557720</v>
      </c>
    </row>
    <row r="22" spans="1:6" ht="15.75" customHeight="1" x14ac:dyDescent="0.15">
      <c r="A22" s="3">
        <v>42160</v>
      </c>
      <c r="B22">
        <v>2095.09</v>
      </c>
      <c r="C22">
        <v>2100.9899999999998</v>
      </c>
      <c r="D22">
        <v>2085.67</v>
      </c>
      <c r="E22">
        <v>2092.83</v>
      </c>
      <c r="F22">
        <v>559311850</v>
      </c>
    </row>
    <row r="23" spans="1:6" ht="15.75" customHeight="1" x14ac:dyDescent="0.15">
      <c r="A23" s="3">
        <v>42163</v>
      </c>
      <c r="B23">
        <v>2092.34</v>
      </c>
      <c r="C23">
        <v>2093.0100000000002</v>
      </c>
      <c r="D23">
        <v>2079.11</v>
      </c>
      <c r="E23">
        <v>2079.2800000000002</v>
      </c>
      <c r="F23">
        <v>488323296</v>
      </c>
    </row>
    <row r="24" spans="1:6" ht="15.75" customHeight="1" x14ac:dyDescent="0.15">
      <c r="A24" s="3">
        <v>42164</v>
      </c>
      <c r="B24">
        <v>2079.0700000000002</v>
      </c>
      <c r="C24">
        <v>2085.62</v>
      </c>
      <c r="D24">
        <v>2072.14</v>
      </c>
      <c r="E24">
        <v>2080.15</v>
      </c>
      <c r="F24">
        <v>488823113</v>
      </c>
    </row>
    <row r="25" spans="1:6" ht="15.75" customHeight="1" x14ac:dyDescent="0.15">
      <c r="A25" s="3">
        <v>42165</v>
      </c>
      <c r="B25">
        <v>2081.12</v>
      </c>
      <c r="C25">
        <v>2108.5</v>
      </c>
      <c r="D25">
        <v>2081.12</v>
      </c>
      <c r="E25">
        <v>2105.1999999999998</v>
      </c>
      <c r="F25">
        <v>507555252</v>
      </c>
    </row>
    <row r="26" spans="1:6" ht="15.75" customHeight="1" x14ac:dyDescent="0.15">
      <c r="A26" s="3">
        <v>42166</v>
      </c>
      <c r="B26">
        <v>2106.2399999999998</v>
      </c>
      <c r="C26">
        <v>2115.02</v>
      </c>
      <c r="D26">
        <v>2106.2399999999998</v>
      </c>
      <c r="E26">
        <v>2108.86</v>
      </c>
      <c r="F26">
        <v>529774046</v>
      </c>
    </row>
    <row r="27" spans="1:6" ht="15.75" customHeight="1" x14ac:dyDescent="0.15">
      <c r="A27" s="3">
        <v>42167</v>
      </c>
      <c r="B27">
        <v>2107.4299999999998</v>
      </c>
      <c r="C27">
        <v>2107.4299999999998</v>
      </c>
      <c r="D27">
        <v>2091.33</v>
      </c>
      <c r="E27">
        <v>2094.11</v>
      </c>
      <c r="F27">
        <v>449503626</v>
      </c>
    </row>
    <row r="28" spans="1:6" ht="15.75" customHeight="1" x14ac:dyDescent="0.15">
      <c r="A28" s="3">
        <v>42170</v>
      </c>
      <c r="B28">
        <v>2091.34</v>
      </c>
      <c r="C28">
        <v>2091.34</v>
      </c>
      <c r="D28">
        <v>2072.4899999999998</v>
      </c>
      <c r="E28">
        <v>2084.4299999999998</v>
      </c>
      <c r="F28">
        <v>504787125</v>
      </c>
    </row>
    <row r="29" spans="1:6" ht="15.75" customHeight="1" x14ac:dyDescent="0.15">
      <c r="A29" s="3">
        <v>42171</v>
      </c>
      <c r="B29">
        <v>2084.2600000000002</v>
      </c>
      <c r="C29">
        <v>2097.4</v>
      </c>
      <c r="D29">
        <v>2082.1</v>
      </c>
      <c r="E29">
        <v>2096.29</v>
      </c>
      <c r="F29">
        <v>410710293</v>
      </c>
    </row>
    <row r="30" spans="1:6" ht="15.75" customHeight="1" x14ac:dyDescent="0.15">
      <c r="A30" s="3">
        <v>42172</v>
      </c>
      <c r="B30">
        <v>2097.4</v>
      </c>
      <c r="C30">
        <v>2106.79</v>
      </c>
      <c r="D30">
        <v>2088.86</v>
      </c>
      <c r="E30">
        <v>2100.44</v>
      </c>
      <c r="F30">
        <v>480805890</v>
      </c>
    </row>
    <row r="31" spans="1:6" ht="15.75" customHeight="1" x14ac:dyDescent="0.15">
      <c r="A31" s="3">
        <v>42173</v>
      </c>
      <c r="B31">
        <v>2101.58</v>
      </c>
      <c r="C31">
        <v>2126.65</v>
      </c>
      <c r="D31">
        <v>2101.58</v>
      </c>
      <c r="E31">
        <v>2121.2399999999998</v>
      </c>
      <c r="F31">
        <v>544428661</v>
      </c>
    </row>
    <row r="32" spans="1:6" ht="15.75" customHeight="1" x14ac:dyDescent="0.15">
      <c r="A32" s="3">
        <v>42174</v>
      </c>
      <c r="B32">
        <v>2121.0300000000002</v>
      </c>
      <c r="C32">
        <v>2121.64</v>
      </c>
      <c r="D32">
        <v>2109.38</v>
      </c>
      <c r="E32">
        <v>2109.9899999999998</v>
      </c>
      <c r="F32">
        <v>181680815</v>
      </c>
    </row>
    <row r="33" spans="1:6" ht="15.75" customHeight="1" x14ac:dyDescent="0.15">
      <c r="A33" s="3">
        <v>42177</v>
      </c>
      <c r="B33">
        <v>2112.5</v>
      </c>
      <c r="C33">
        <v>2129.87</v>
      </c>
      <c r="D33">
        <v>2112.5</v>
      </c>
      <c r="E33">
        <v>2122.85</v>
      </c>
      <c r="F33">
        <v>468228023</v>
      </c>
    </row>
    <row r="34" spans="1:6" ht="15.75" customHeight="1" x14ac:dyDescent="0.15">
      <c r="A34" s="3">
        <v>42178</v>
      </c>
      <c r="B34">
        <v>2123.16</v>
      </c>
      <c r="C34">
        <v>2128.0300000000002</v>
      </c>
      <c r="D34">
        <v>2119.89</v>
      </c>
      <c r="E34">
        <v>2124.1999999999998</v>
      </c>
      <c r="F34">
        <v>453115170</v>
      </c>
    </row>
    <row r="35" spans="1:6" ht="15.75" customHeight="1" x14ac:dyDescent="0.15">
      <c r="A35" s="3">
        <v>42179</v>
      </c>
      <c r="B35">
        <v>2123.33</v>
      </c>
      <c r="C35">
        <v>2125.1</v>
      </c>
      <c r="D35">
        <v>2108.58</v>
      </c>
      <c r="E35">
        <v>2108.58</v>
      </c>
      <c r="F35">
        <v>534019481</v>
      </c>
    </row>
    <row r="36" spans="1:6" ht="15.75" customHeight="1" x14ac:dyDescent="0.15">
      <c r="A36" s="3">
        <v>42180</v>
      </c>
      <c r="B36">
        <v>2109.96</v>
      </c>
      <c r="C36">
        <v>2116.04</v>
      </c>
      <c r="D36">
        <v>2101.7800000000002</v>
      </c>
      <c r="E36">
        <v>2102.31</v>
      </c>
      <c r="F36">
        <v>494346810</v>
      </c>
    </row>
    <row r="37" spans="1:6" ht="15.75" customHeight="1" x14ac:dyDescent="0.15">
      <c r="A37" s="3">
        <v>42181</v>
      </c>
      <c r="B37">
        <v>2102.62</v>
      </c>
      <c r="C37">
        <v>2108.92</v>
      </c>
      <c r="D37">
        <v>2095.38</v>
      </c>
      <c r="E37">
        <v>2101.4899999999998</v>
      </c>
      <c r="F37">
        <v>927539503</v>
      </c>
    </row>
    <row r="38" spans="1:6" ht="15.75" customHeight="1" x14ac:dyDescent="0.15">
      <c r="A38" s="3">
        <v>42184</v>
      </c>
      <c r="B38">
        <v>2098.63</v>
      </c>
      <c r="C38">
        <v>2098.63</v>
      </c>
      <c r="D38">
        <v>2056.64</v>
      </c>
      <c r="E38">
        <v>2057.64</v>
      </c>
      <c r="F38">
        <v>586955148</v>
      </c>
    </row>
    <row r="39" spans="1:6" ht="15.75" customHeight="1" x14ac:dyDescent="0.15">
      <c r="A39" s="3">
        <v>42185</v>
      </c>
      <c r="B39">
        <v>2061.19</v>
      </c>
      <c r="C39">
        <v>2074.2800000000002</v>
      </c>
      <c r="D39">
        <v>2056.3200000000002</v>
      </c>
      <c r="E39">
        <v>2063.11</v>
      </c>
      <c r="F39">
        <v>717671106</v>
      </c>
    </row>
    <row r="40" spans="1:6" ht="13" x14ac:dyDescent="0.15">
      <c r="A40" s="3">
        <v>42186</v>
      </c>
      <c r="B40">
        <v>2067</v>
      </c>
      <c r="C40">
        <v>2082.7800000000002</v>
      </c>
      <c r="D40">
        <v>2067</v>
      </c>
      <c r="E40">
        <v>2077.42</v>
      </c>
      <c r="F40">
        <v>531751257</v>
      </c>
    </row>
    <row r="41" spans="1:6" ht="13" x14ac:dyDescent="0.15">
      <c r="A41" s="3">
        <v>42187</v>
      </c>
      <c r="B41">
        <v>2078.0300000000002</v>
      </c>
      <c r="C41">
        <v>2085.06</v>
      </c>
      <c r="D41">
        <v>2071.02</v>
      </c>
      <c r="E41">
        <v>2076.7800000000002</v>
      </c>
      <c r="F41">
        <v>484440239</v>
      </c>
    </row>
    <row r="42" spans="1:6" ht="13" x14ac:dyDescent="0.15">
      <c r="A42" s="3">
        <v>42191</v>
      </c>
      <c r="B42">
        <v>2073.9499999999998</v>
      </c>
      <c r="C42">
        <v>2078.61</v>
      </c>
      <c r="D42">
        <v>2058.4</v>
      </c>
      <c r="E42">
        <v>2068.7600000000002</v>
      </c>
      <c r="F42">
        <v>586209073</v>
      </c>
    </row>
    <row r="43" spans="1:6" ht="13" x14ac:dyDescent="0.15">
      <c r="A43" s="3">
        <v>42192</v>
      </c>
      <c r="B43">
        <v>2069.52</v>
      </c>
      <c r="C43">
        <v>2083.7399999999998</v>
      </c>
      <c r="D43">
        <v>2044.02</v>
      </c>
      <c r="E43">
        <v>2081.34</v>
      </c>
      <c r="F43">
        <v>624382379</v>
      </c>
    </row>
    <row r="44" spans="1:6" ht="13" x14ac:dyDescent="0.15">
      <c r="A44" s="3">
        <v>42193</v>
      </c>
      <c r="B44">
        <v>2077.66</v>
      </c>
      <c r="C44">
        <v>2077.66</v>
      </c>
      <c r="D44">
        <v>2044.66</v>
      </c>
      <c r="E44">
        <v>2046.68</v>
      </c>
      <c r="F44">
        <v>372276830</v>
      </c>
    </row>
    <row r="45" spans="1:6" ht="13" x14ac:dyDescent="0.15">
      <c r="A45" s="3">
        <v>42194</v>
      </c>
      <c r="B45">
        <v>2049.73</v>
      </c>
      <c r="C45">
        <v>2074.2800000000002</v>
      </c>
      <c r="D45">
        <v>2049.73</v>
      </c>
      <c r="E45">
        <v>2051.31</v>
      </c>
      <c r="F45">
        <v>553570988</v>
      </c>
    </row>
    <row r="46" spans="1:6" ht="13" x14ac:dyDescent="0.15">
      <c r="A46" s="3">
        <v>42195</v>
      </c>
      <c r="B46">
        <v>2052.7399999999998</v>
      </c>
      <c r="C46">
        <v>2081.31</v>
      </c>
      <c r="D46">
        <v>2052.7399999999998</v>
      </c>
      <c r="E46">
        <v>2076.62</v>
      </c>
      <c r="F46">
        <v>487492213</v>
      </c>
    </row>
    <row r="47" spans="1:6" ht="13" x14ac:dyDescent="0.15">
      <c r="A47" s="3">
        <v>42198</v>
      </c>
      <c r="B47">
        <v>2080.0300000000002</v>
      </c>
      <c r="C47">
        <v>2100.67</v>
      </c>
      <c r="D47">
        <v>2080.0300000000002</v>
      </c>
      <c r="E47">
        <v>2099.6</v>
      </c>
      <c r="F47">
        <v>504047608</v>
      </c>
    </row>
    <row r="48" spans="1:6" ht="13" x14ac:dyDescent="0.15">
      <c r="A48" s="3">
        <v>42199</v>
      </c>
      <c r="B48">
        <v>2099.7199999999998</v>
      </c>
      <c r="C48">
        <v>2111.98</v>
      </c>
      <c r="D48">
        <v>2098.1799999999998</v>
      </c>
      <c r="E48">
        <v>2108.9499999999998</v>
      </c>
      <c r="F48">
        <v>501243649</v>
      </c>
    </row>
    <row r="49" spans="1:6" ht="13" x14ac:dyDescent="0.15">
      <c r="A49" s="3">
        <v>42200</v>
      </c>
      <c r="B49">
        <v>2109.0100000000002</v>
      </c>
      <c r="C49">
        <v>2114.14</v>
      </c>
      <c r="D49">
        <v>2102.4899999999998</v>
      </c>
      <c r="E49">
        <v>2107.4</v>
      </c>
      <c r="F49">
        <v>538810633</v>
      </c>
    </row>
    <row r="50" spans="1:6" ht="13" x14ac:dyDescent="0.15">
      <c r="A50" s="3">
        <v>42201</v>
      </c>
      <c r="B50">
        <v>2110.5500000000002</v>
      </c>
      <c r="C50">
        <v>2124.42</v>
      </c>
      <c r="D50">
        <v>2110.5500000000002</v>
      </c>
      <c r="E50">
        <v>2124.29</v>
      </c>
      <c r="F50">
        <v>531489666</v>
      </c>
    </row>
    <row r="51" spans="1:6" ht="13" x14ac:dyDescent="0.15">
      <c r="A51" s="3">
        <v>42202</v>
      </c>
      <c r="B51">
        <v>2126.8000000000002</v>
      </c>
      <c r="C51">
        <v>2128.91</v>
      </c>
      <c r="D51">
        <v>2119.88</v>
      </c>
      <c r="E51">
        <v>2126.64</v>
      </c>
      <c r="F51">
        <v>626055481</v>
      </c>
    </row>
    <row r="52" spans="1:6" ht="13" x14ac:dyDescent="0.15">
      <c r="A52" s="3">
        <v>42205</v>
      </c>
      <c r="B52">
        <v>2126.85</v>
      </c>
      <c r="C52">
        <v>2132.8200000000002</v>
      </c>
      <c r="D52">
        <v>2123.65</v>
      </c>
      <c r="E52">
        <v>2128.2800000000002</v>
      </c>
      <c r="F52">
        <v>498063871</v>
      </c>
    </row>
    <row r="53" spans="1:6" ht="13" x14ac:dyDescent="0.15">
      <c r="A53" s="3">
        <v>42206</v>
      </c>
      <c r="B53">
        <v>2127.5500000000002</v>
      </c>
      <c r="C53">
        <v>2128.4899999999998</v>
      </c>
      <c r="D53">
        <v>2115.4</v>
      </c>
      <c r="E53">
        <v>2119.21</v>
      </c>
      <c r="F53">
        <v>549092745</v>
      </c>
    </row>
    <row r="54" spans="1:6" ht="13" x14ac:dyDescent="0.15">
      <c r="A54" s="3">
        <v>42207</v>
      </c>
      <c r="B54">
        <v>2118.21</v>
      </c>
      <c r="C54">
        <v>2118.5100000000002</v>
      </c>
      <c r="D54">
        <v>2110</v>
      </c>
      <c r="E54">
        <v>2114.15</v>
      </c>
      <c r="F54">
        <v>604850316</v>
      </c>
    </row>
    <row r="55" spans="1:6" ht="13" x14ac:dyDescent="0.15">
      <c r="A55" s="3">
        <v>42208</v>
      </c>
      <c r="B55">
        <v>2114.16</v>
      </c>
      <c r="C55">
        <v>2116.87</v>
      </c>
      <c r="D55">
        <v>2098.63</v>
      </c>
      <c r="E55">
        <v>2102.15</v>
      </c>
      <c r="F55">
        <v>583756482</v>
      </c>
    </row>
    <row r="56" spans="1:6" ht="13" x14ac:dyDescent="0.15">
      <c r="A56" s="3">
        <v>42209</v>
      </c>
      <c r="B56">
        <v>2102.2399999999998</v>
      </c>
      <c r="C56">
        <v>2106.0100000000002</v>
      </c>
      <c r="D56">
        <v>2077.09</v>
      </c>
      <c r="E56">
        <v>2079.65</v>
      </c>
      <c r="F56">
        <v>622862924</v>
      </c>
    </row>
    <row r="57" spans="1:6" ht="13" x14ac:dyDescent="0.15">
      <c r="A57" s="3">
        <v>42212</v>
      </c>
      <c r="B57">
        <v>2078.19</v>
      </c>
      <c r="C57">
        <v>2078.19</v>
      </c>
      <c r="D57">
        <v>2063.52</v>
      </c>
      <c r="E57">
        <v>2067.64</v>
      </c>
      <c r="F57">
        <v>658424497</v>
      </c>
    </row>
    <row r="58" spans="1:6" ht="13" x14ac:dyDescent="0.15">
      <c r="A58" s="3">
        <v>42213</v>
      </c>
      <c r="B58">
        <v>2070.75</v>
      </c>
      <c r="C58">
        <v>2095.6</v>
      </c>
      <c r="D58">
        <v>2069.09</v>
      </c>
      <c r="E58">
        <v>2093.25</v>
      </c>
      <c r="F58">
        <v>612199117</v>
      </c>
    </row>
    <row r="59" spans="1:6" ht="13" x14ac:dyDescent="0.15">
      <c r="A59" s="3">
        <v>42214</v>
      </c>
      <c r="B59">
        <v>2094.6999999999998</v>
      </c>
      <c r="C59">
        <v>2110.6</v>
      </c>
      <c r="D59">
        <v>2094.08</v>
      </c>
      <c r="E59">
        <v>2108.5700000000002</v>
      </c>
      <c r="F59">
        <v>568110723</v>
      </c>
    </row>
    <row r="60" spans="1:6" ht="13" x14ac:dyDescent="0.15">
      <c r="A60" s="3">
        <v>42215</v>
      </c>
      <c r="B60">
        <v>2106.7800000000002</v>
      </c>
      <c r="C60">
        <v>2110.48</v>
      </c>
      <c r="D60">
        <v>2094.9699999999998</v>
      </c>
      <c r="E60">
        <v>2108.63</v>
      </c>
      <c r="F60">
        <v>505302182</v>
      </c>
    </row>
    <row r="61" spans="1:6" ht="13" x14ac:dyDescent="0.15">
      <c r="A61" s="3">
        <v>42216</v>
      </c>
      <c r="B61">
        <v>2111.6</v>
      </c>
      <c r="C61">
        <v>2114.2399999999998</v>
      </c>
      <c r="D61">
        <v>2102.0700000000002</v>
      </c>
      <c r="E61">
        <v>2103.84</v>
      </c>
      <c r="F61">
        <v>639716945</v>
      </c>
    </row>
    <row r="62" spans="1:6" ht="13" x14ac:dyDescent="0.15">
      <c r="A62" s="3">
        <v>42219</v>
      </c>
      <c r="B62">
        <v>2104.4899999999998</v>
      </c>
      <c r="C62">
        <v>2105.6999999999998</v>
      </c>
      <c r="D62">
        <v>2087.31</v>
      </c>
      <c r="E62">
        <v>2098.04</v>
      </c>
      <c r="F62">
        <v>546235777</v>
      </c>
    </row>
    <row r="63" spans="1:6" ht="13" x14ac:dyDescent="0.15">
      <c r="A63" s="3">
        <v>42220</v>
      </c>
      <c r="B63">
        <v>2097.6799999999998</v>
      </c>
      <c r="C63">
        <v>2102.5100000000002</v>
      </c>
      <c r="D63">
        <v>2088.6</v>
      </c>
      <c r="E63">
        <v>2093.3200000000002</v>
      </c>
      <c r="F63">
        <v>545885014</v>
      </c>
    </row>
    <row r="64" spans="1:6" ht="13" x14ac:dyDescent="0.15">
      <c r="A64" s="3">
        <v>42221</v>
      </c>
      <c r="B64">
        <v>2095.27</v>
      </c>
      <c r="C64">
        <v>2112.66</v>
      </c>
      <c r="D64">
        <v>2095.27</v>
      </c>
      <c r="E64">
        <v>2099.84</v>
      </c>
      <c r="F64">
        <v>580780772</v>
      </c>
    </row>
    <row r="65" spans="1:6" ht="13" x14ac:dyDescent="0.15">
      <c r="A65" s="3">
        <v>42222</v>
      </c>
      <c r="B65">
        <v>2100.75</v>
      </c>
      <c r="C65">
        <v>2103.3200000000002</v>
      </c>
      <c r="D65">
        <v>2075.5300000000002</v>
      </c>
      <c r="E65">
        <v>2083.56</v>
      </c>
      <c r="F65">
        <v>611690579</v>
      </c>
    </row>
    <row r="66" spans="1:6" ht="13" x14ac:dyDescent="0.15">
      <c r="A66" s="3">
        <v>42223</v>
      </c>
      <c r="B66">
        <v>2082.61</v>
      </c>
      <c r="C66">
        <v>2082.61</v>
      </c>
      <c r="D66">
        <v>2067.91</v>
      </c>
      <c r="E66">
        <v>2077.5700000000002</v>
      </c>
      <c r="F66">
        <v>529686686</v>
      </c>
    </row>
    <row r="67" spans="1:6" ht="13" x14ac:dyDescent="0.15">
      <c r="A67" s="3">
        <v>42226</v>
      </c>
      <c r="B67">
        <v>2080.98</v>
      </c>
      <c r="C67">
        <v>2105.35</v>
      </c>
      <c r="D67">
        <v>2080.98</v>
      </c>
      <c r="E67">
        <v>2104.1799999999998</v>
      </c>
      <c r="F67">
        <v>536952747</v>
      </c>
    </row>
    <row r="68" spans="1:6" ht="13" x14ac:dyDescent="0.15">
      <c r="A68" s="3">
        <v>42227</v>
      </c>
      <c r="B68">
        <v>2102.66</v>
      </c>
      <c r="C68">
        <v>2102.66</v>
      </c>
      <c r="D68">
        <v>2076.4899999999998</v>
      </c>
      <c r="E68">
        <v>2084.0700000000002</v>
      </c>
      <c r="F68">
        <v>562080936</v>
      </c>
    </row>
    <row r="69" spans="1:6" ht="13" x14ac:dyDescent="0.15">
      <c r="A69" s="3">
        <v>42228</v>
      </c>
      <c r="B69">
        <v>2081.1</v>
      </c>
      <c r="C69">
        <v>2089.06</v>
      </c>
      <c r="D69">
        <v>2052.09</v>
      </c>
      <c r="E69">
        <v>2086.0500000000002</v>
      </c>
      <c r="F69">
        <v>632320464</v>
      </c>
    </row>
    <row r="70" spans="1:6" ht="13" x14ac:dyDescent="0.15">
      <c r="A70" s="3">
        <v>42229</v>
      </c>
      <c r="B70">
        <v>2086.19</v>
      </c>
      <c r="C70">
        <v>2092.9299999999998</v>
      </c>
      <c r="D70">
        <v>2078.2600000000002</v>
      </c>
      <c r="E70">
        <v>2083.39</v>
      </c>
      <c r="F70">
        <v>502475309</v>
      </c>
    </row>
    <row r="71" spans="1:6" ht="13" x14ac:dyDescent="0.15">
      <c r="A71" s="3">
        <v>42230</v>
      </c>
      <c r="B71">
        <v>2083.15</v>
      </c>
      <c r="C71">
        <v>2092.4499999999998</v>
      </c>
      <c r="D71">
        <v>2080.61</v>
      </c>
      <c r="E71">
        <v>2091.54</v>
      </c>
      <c r="F71">
        <v>448636523</v>
      </c>
    </row>
    <row r="72" spans="1:6" ht="13" x14ac:dyDescent="0.15">
      <c r="A72" s="3">
        <v>42233</v>
      </c>
      <c r="B72">
        <v>2089.6999999999998</v>
      </c>
      <c r="C72">
        <v>2102.87</v>
      </c>
      <c r="D72">
        <v>2079.3000000000002</v>
      </c>
      <c r="E72">
        <v>2102.44</v>
      </c>
      <c r="F72">
        <v>426042175</v>
      </c>
    </row>
    <row r="73" spans="1:6" ht="13" x14ac:dyDescent="0.15">
      <c r="A73" s="3">
        <v>42234</v>
      </c>
      <c r="B73">
        <v>2101.9899999999998</v>
      </c>
      <c r="C73">
        <v>2103.4699999999998</v>
      </c>
      <c r="D73">
        <v>2094.14</v>
      </c>
      <c r="E73">
        <v>2096.92</v>
      </c>
      <c r="F73">
        <v>444211630</v>
      </c>
    </row>
    <row r="74" spans="1:6" ht="13" x14ac:dyDescent="0.15">
      <c r="A74" s="3">
        <v>42235</v>
      </c>
      <c r="B74">
        <v>2095.69</v>
      </c>
      <c r="C74">
        <v>2096.17</v>
      </c>
      <c r="D74">
        <v>2070.5300000000002</v>
      </c>
      <c r="E74">
        <v>2079.61</v>
      </c>
      <c r="F74">
        <v>571231726</v>
      </c>
    </row>
    <row r="75" spans="1:6" ht="13" x14ac:dyDescent="0.15">
      <c r="A75" s="3">
        <v>42236</v>
      </c>
      <c r="B75">
        <v>2076.61</v>
      </c>
      <c r="C75">
        <v>2076.61</v>
      </c>
      <c r="D75">
        <v>2035.73</v>
      </c>
      <c r="E75">
        <v>2035.73</v>
      </c>
      <c r="F75">
        <v>674625605</v>
      </c>
    </row>
    <row r="76" spans="1:6" ht="13" x14ac:dyDescent="0.15">
      <c r="A76" s="3">
        <v>42237</v>
      </c>
      <c r="B76">
        <v>2034.08</v>
      </c>
      <c r="C76">
        <v>2034.08</v>
      </c>
      <c r="D76">
        <v>1970.89</v>
      </c>
      <c r="E76">
        <v>1970.89</v>
      </c>
      <c r="F76">
        <v>1064386975</v>
      </c>
    </row>
    <row r="77" spans="1:6" ht="13" x14ac:dyDescent="0.15">
      <c r="A77" s="3">
        <v>42240</v>
      </c>
      <c r="B77">
        <v>1965.15</v>
      </c>
      <c r="C77">
        <v>1965.15</v>
      </c>
      <c r="D77">
        <v>1867.01</v>
      </c>
      <c r="E77">
        <v>1893.21</v>
      </c>
      <c r="F77">
        <v>259667692</v>
      </c>
    </row>
    <row r="78" spans="1:6" ht="13" x14ac:dyDescent="0.15">
      <c r="A78" s="3">
        <v>42241</v>
      </c>
      <c r="B78">
        <v>1898.08</v>
      </c>
      <c r="C78">
        <v>1948.04</v>
      </c>
      <c r="D78">
        <v>1867.08</v>
      </c>
      <c r="E78">
        <v>1867.61</v>
      </c>
      <c r="F78">
        <v>1051285330</v>
      </c>
    </row>
    <row r="79" spans="1:6" ht="13" x14ac:dyDescent="0.15">
      <c r="A79" s="3">
        <v>42242</v>
      </c>
      <c r="B79">
        <v>1872.75</v>
      </c>
      <c r="C79">
        <v>1943.09</v>
      </c>
      <c r="D79">
        <v>1872.75</v>
      </c>
      <c r="E79">
        <v>1940.51</v>
      </c>
      <c r="F79">
        <v>1028890548</v>
      </c>
    </row>
    <row r="80" spans="1:6" ht="13" x14ac:dyDescent="0.15">
      <c r="A80" s="3">
        <v>42243</v>
      </c>
      <c r="B80">
        <v>1942.77</v>
      </c>
      <c r="C80">
        <v>1989.6</v>
      </c>
      <c r="D80">
        <v>1942.77</v>
      </c>
      <c r="E80">
        <v>1987.66</v>
      </c>
      <c r="F80">
        <v>924279973</v>
      </c>
    </row>
    <row r="81" spans="1:6" ht="13" x14ac:dyDescent="0.15">
      <c r="A81" s="3">
        <v>42244</v>
      </c>
      <c r="B81">
        <v>1986.06</v>
      </c>
      <c r="C81">
        <v>1993.48</v>
      </c>
      <c r="D81">
        <v>1975.19</v>
      </c>
      <c r="E81">
        <v>1988.87</v>
      </c>
      <c r="F81">
        <v>723484652</v>
      </c>
    </row>
    <row r="82" spans="1:6" ht="13" x14ac:dyDescent="0.15">
      <c r="A82" s="3">
        <v>42247</v>
      </c>
      <c r="B82">
        <v>1986.73</v>
      </c>
      <c r="C82">
        <v>1986.73</v>
      </c>
      <c r="D82">
        <v>1965.98</v>
      </c>
      <c r="E82">
        <v>1972.18</v>
      </c>
      <c r="F82">
        <v>764741387</v>
      </c>
    </row>
    <row r="83" spans="1:6" ht="13" x14ac:dyDescent="0.15">
      <c r="A83" s="3">
        <v>42248</v>
      </c>
      <c r="B83">
        <v>1970.09</v>
      </c>
      <c r="C83">
        <v>1970.09</v>
      </c>
      <c r="D83">
        <v>1903.07</v>
      </c>
      <c r="E83">
        <v>1913.85</v>
      </c>
      <c r="F83">
        <v>870125463</v>
      </c>
    </row>
    <row r="84" spans="1:6" ht="13" x14ac:dyDescent="0.15">
      <c r="A84" s="3">
        <v>42249</v>
      </c>
      <c r="B84">
        <v>1916.52</v>
      </c>
      <c r="C84">
        <v>1948.91</v>
      </c>
      <c r="D84">
        <v>1916.52</v>
      </c>
      <c r="E84">
        <v>1948.86</v>
      </c>
      <c r="F84">
        <v>732830759</v>
      </c>
    </row>
    <row r="85" spans="1:6" ht="13" x14ac:dyDescent="0.15">
      <c r="A85" s="3">
        <v>42250</v>
      </c>
      <c r="B85">
        <v>1950.79</v>
      </c>
      <c r="C85">
        <v>1975.01</v>
      </c>
      <c r="D85">
        <v>1944.72</v>
      </c>
      <c r="E85">
        <v>1951.13</v>
      </c>
      <c r="F85">
        <v>632699986</v>
      </c>
    </row>
    <row r="86" spans="1:6" ht="13" x14ac:dyDescent="0.15">
      <c r="A86" s="3">
        <v>42251</v>
      </c>
      <c r="B86">
        <v>1947.76</v>
      </c>
      <c r="C86">
        <v>1947.76</v>
      </c>
      <c r="D86">
        <v>1911.21</v>
      </c>
      <c r="E86">
        <v>1921.22</v>
      </c>
      <c r="F86">
        <v>665450828</v>
      </c>
    </row>
    <row r="87" spans="1:6" ht="13" x14ac:dyDescent="0.15">
      <c r="A87" s="3">
        <v>42255</v>
      </c>
      <c r="B87">
        <v>1927.3</v>
      </c>
      <c r="C87">
        <v>1970.42</v>
      </c>
      <c r="D87">
        <v>1927.3</v>
      </c>
      <c r="E87">
        <v>1969.41</v>
      </c>
      <c r="F87">
        <v>683168139</v>
      </c>
    </row>
    <row r="88" spans="1:6" ht="13" x14ac:dyDescent="0.15">
      <c r="A88" s="3">
        <v>42256</v>
      </c>
      <c r="B88">
        <v>1971.45</v>
      </c>
      <c r="C88">
        <v>1988.63</v>
      </c>
      <c r="D88">
        <v>1937.88</v>
      </c>
      <c r="E88">
        <v>1942.04</v>
      </c>
      <c r="F88">
        <v>666981166</v>
      </c>
    </row>
    <row r="89" spans="1:6" ht="13" x14ac:dyDescent="0.15">
      <c r="A89" s="3">
        <v>42257</v>
      </c>
      <c r="B89">
        <v>1941.59</v>
      </c>
      <c r="C89">
        <v>1965.29</v>
      </c>
      <c r="D89">
        <v>1937.19</v>
      </c>
      <c r="E89">
        <v>1952.29</v>
      </c>
      <c r="F89">
        <v>668618889</v>
      </c>
    </row>
    <row r="90" spans="1:6" ht="13" x14ac:dyDescent="0.15">
      <c r="A90" s="3">
        <v>42258</v>
      </c>
      <c r="B90">
        <v>1951.45</v>
      </c>
      <c r="C90">
        <v>1961.05</v>
      </c>
      <c r="D90">
        <v>1939.19</v>
      </c>
      <c r="E90">
        <v>1961.05</v>
      </c>
      <c r="F90">
        <v>589037146</v>
      </c>
    </row>
    <row r="91" spans="1:6" ht="13" x14ac:dyDescent="0.15">
      <c r="A91" s="3">
        <v>42261</v>
      </c>
      <c r="B91">
        <v>1963.06</v>
      </c>
      <c r="C91">
        <v>1963.06</v>
      </c>
      <c r="D91">
        <v>1948.27</v>
      </c>
      <c r="E91">
        <v>1953.03</v>
      </c>
      <c r="F91">
        <v>546552646</v>
      </c>
    </row>
    <row r="92" spans="1:6" ht="13" x14ac:dyDescent="0.15">
      <c r="A92" s="3">
        <v>42262</v>
      </c>
      <c r="B92">
        <v>1955.1</v>
      </c>
      <c r="C92">
        <v>1983.19</v>
      </c>
      <c r="D92">
        <v>1954.3</v>
      </c>
      <c r="E92">
        <v>1978.09</v>
      </c>
      <c r="F92">
        <v>538205710</v>
      </c>
    </row>
    <row r="93" spans="1:6" ht="13" x14ac:dyDescent="0.15">
      <c r="A93" s="3">
        <v>42263</v>
      </c>
      <c r="B93">
        <v>1978.02</v>
      </c>
      <c r="C93">
        <v>1997.26</v>
      </c>
      <c r="D93">
        <v>1977.93</v>
      </c>
      <c r="E93">
        <v>1995.31</v>
      </c>
      <c r="F93">
        <v>592020686</v>
      </c>
    </row>
    <row r="94" spans="1:6" ht="13" x14ac:dyDescent="0.15">
      <c r="A94" s="3">
        <v>42264</v>
      </c>
      <c r="B94">
        <v>1995.33</v>
      </c>
      <c r="C94">
        <v>2020.86</v>
      </c>
      <c r="D94">
        <v>1986.73</v>
      </c>
      <c r="E94">
        <v>1990.2</v>
      </c>
      <c r="F94">
        <v>704674713</v>
      </c>
    </row>
    <row r="95" spans="1:6" ht="13" x14ac:dyDescent="0.15">
      <c r="A95" s="3">
        <v>42265</v>
      </c>
      <c r="B95">
        <v>1989.66</v>
      </c>
      <c r="C95">
        <v>1989.66</v>
      </c>
      <c r="D95">
        <v>1953.45</v>
      </c>
      <c r="E95">
        <v>1958.03</v>
      </c>
      <c r="F95">
        <v>787228057</v>
      </c>
    </row>
    <row r="96" spans="1:6" ht="13" x14ac:dyDescent="0.15">
      <c r="A96" s="3">
        <v>42268</v>
      </c>
      <c r="B96">
        <v>1960.84</v>
      </c>
      <c r="C96">
        <v>1979.64</v>
      </c>
      <c r="D96">
        <v>1955.8</v>
      </c>
      <c r="E96">
        <v>1966.97</v>
      </c>
      <c r="F96">
        <v>570775068</v>
      </c>
    </row>
    <row r="97" spans="1:6" ht="13" x14ac:dyDescent="0.15">
      <c r="A97" s="3">
        <v>42269</v>
      </c>
      <c r="B97">
        <v>1961.39</v>
      </c>
      <c r="C97">
        <v>1961.39</v>
      </c>
      <c r="D97">
        <v>1929.22</v>
      </c>
      <c r="E97">
        <v>1942.74</v>
      </c>
      <c r="F97">
        <v>692587353</v>
      </c>
    </row>
    <row r="98" spans="1:6" ht="13" x14ac:dyDescent="0.15">
      <c r="A98" s="3">
        <v>42270</v>
      </c>
      <c r="B98">
        <v>1943.24</v>
      </c>
      <c r="C98">
        <v>1949.52</v>
      </c>
      <c r="D98">
        <v>1932.57</v>
      </c>
      <c r="E98">
        <v>1938.76</v>
      </c>
      <c r="F98">
        <v>505058172</v>
      </c>
    </row>
    <row r="99" spans="1:6" ht="13" x14ac:dyDescent="0.15">
      <c r="A99" s="3">
        <v>42271</v>
      </c>
      <c r="B99">
        <v>1934.81</v>
      </c>
      <c r="C99">
        <v>1937.17</v>
      </c>
      <c r="D99">
        <v>1908.92</v>
      </c>
      <c r="E99">
        <v>1932.24</v>
      </c>
      <c r="F99">
        <v>715118376</v>
      </c>
    </row>
    <row r="100" spans="1:6" ht="13" x14ac:dyDescent="0.15">
      <c r="A100" s="3">
        <v>42272</v>
      </c>
      <c r="B100">
        <v>1935.93</v>
      </c>
      <c r="C100">
        <v>1952.89</v>
      </c>
      <c r="D100">
        <v>1921.5</v>
      </c>
      <c r="E100">
        <v>1931.34</v>
      </c>
      <c r="F100">
        <v>691099595</v>
      </c>
    </row>
    <row r="101" spans="1:6" ht="13" x14ac:dyDescent="0.15">
      <c r="A101" s="3">
        <v>42275</v>
      </c>
      <c r="B101">
        <v>1929.18</v>
      </c>
      <c r="C101">
        <v>1929.18</v>
      </c>
      <c r="D101">
        <v>1879.21</v>
      </c>
      <c r="E101">
        <v>1881.77</v>
      </c>
      <c r="F101">
        <v>776043095</v>
      </c>
    </row>
    <row r="102" spans="1:6" ht="13" x14ac:dyDescent="0.15">
      <c r="A102" s="3">
        <v>42276</v>
      </c>
      <c r="B102">
        <v>1881.9</v>
      </c>
      <c r="C102">
        <v>1899.48</v>
      </c>
      <c r="D102">
        <v>1871.91</v>
      </c>
      <c r="E102">
        <v>1884.09</v>
      </c>
      <c r="F102">
        <v>735886295</v>
      </c>
    </row>
    <row r="103" spans="1:6" ht="13" x14ac:dyDescent="0.15">
      <c r="A103" s="3">
        <v>42277</v>
      </c>
      <c r="B103">
        <v>1887.14</v>
      </c>
      <c r="C103">
        <v>1920.53</v>
      </c>
      <c r="D103">
        <v>1887.14</v>
      </c>
      <c r="E103">
        <v>1920.03</v>
      </c>
      <c r="F103">
        <v>848521002</v>
      </c>
    </row>
    <row r="104" spans="1:6" ht="13" x14ac:dyDescent="0.15">
      <c r="A104" s="3">
        <v>42278</v>
      </c>
      <c r="B104">
        <v>1919.65</v>
      </c>
      <c r="C104">
        <v>1927.21</v>
      </c>
      <c r="D104">
        <v>1900.7</v>
      </c>
      <c r="E104">
        <v>1923.82</v>
      </c>
      <c r="F104">
        <v>676563545</v>
      </c>
    </row>
    <row r="105" spans="1:6" ht="13" x14ac:dyDescent="0.15">
      <c r="A105" s="3">
        <v>42279</v>
      </c>
      <c r="B105">
        <v>1921.77</v>
      </c>
      <c r="C105">
        <v>1951.36</v>
      </c>
      <c r="D105">
        <v>1893.7</v>
      </c>
      <c r="E105">
        <v>1951.36</v>
      </c>
      <c r="F105">
        <v>763255552</v>
      </c>
    </row>
    <row r="106" spans="1:6" ht="13" x14ac:dyDescent="0.15">
      <c r="A106" s="3">
        <v>42282</v>
      </c>
      <c r="B106">
        <v>1954.33</v>
      </c>
      <c r="C106">
        <v>1989.17</v>
      </c>
      <c r="D106">
        <v>1954.33</v>
      </c>
      <c r="E106">
        <v>1987.05</v>
      </c>
      <c r="F106">
        <v>725881817</v>
      </c>
    </row>
    <row r="107" spans="1:6" ht="13" x14ac:dyDescent="0.15">
      <c r="A107" s="3">
        <v>42283</v>
      </c>
      <c r="B107">
        <v>1986.63</v>
      </c>
      <c r="C107">
        <v>1991.62</v>
      </c>
      <c r="D107">
        <v>1971.99</v>
      </c>
      <c r="E107">
        <v>1979.92</v>
      </c>
      <c r="F107">
        <v>679866164</v>
      </c>
    </row>
    <row r="108" spans="1:6" ht="13" x14ac:dyDescent="0.15">
      <c r="A108" s="3">
        <v>42284</v>
      </c>
      <c r="B108">
        <v>1982.34</v>
      </c>
      <c r="C108">
        <v>1999.31</v>
      </c>
      <c r="D108">
        <v>1976.44</v>
      </c>
      <c r="E108">
        <v>1995.83</v>
      </c>
      <c r="F108">
        <v>735394471</v>
      </c>
    </row>
    <row r="109" spans="1:6" ht="13" x14ac:dyDescent="0.15">
      <c r="A109" s="3">
        <v>42285</v>
      </c>
      <c r="B109">
        <v>1994.01</v>
      </c>
      <c r="C109">
        <v>2016.5</v>
      </c>
      <c r="D109">
        <v>1987.53</v>
      </c>
      <c r="E109">
        <v>2013.43</v>
      </c>
      <c r="F109">
        <v>604478359</v>
      </c>
    </row>
    <row r="110" spans="1:6" ht="13" x14ac:dyDescent="0.15">
      <c r="A110" s="3">
        <v>42286</v>
      </c>
      <c r="B110">
        <v>2013.73</v>
      </c>
      <c r="C110">
        <v>2020.13</v>
      </c>
      <c r="D110">
        <v>2007.61</v>
      </c>
      <c r="E110">
        <v>2014.89</v>
      </c>
      <c r="F110">
        <v>623423601</v>
      </c>
    </row>
    <row r="111" spans="1:6" ht="13" x14ac:dyDescent="0.15">
      <c r="A111" s="3">
        <v>42289</v>
      </c>
      <c r="B111">
        <v>2015.65</v>
      </c>
      <c r="C111">
        <v>2018.66</v>
      </c>
      <c r="D111">
        <v>2010.55</v>
      </c>
      <c r="E111">
        <v>2017.46</v>
      </c>
      <c r="F111">
        <v>464138958</v>
      </c>
    </row>
    <row r="112" spans="1:6" ht="13" x14ac:dyDescent="0.15">
      <c r="A112" s="3">
        <v>42290</v>
      </c>
      <c r="B112">
        <v>2015</v>
      </c>
      <c r="C112">
        <v>2022.34</v>
      </c>
      <c r="D112">
        <v>2001.78</v>
      </c>
      <c r="E112">
        <v>2003.69</v>
      </c>
      <c r="F112">
        <v>567343893</v>
      </c>
    </row>
    <row r="113" spans="1:6" ht="13" x14ac:dyDescent="0.15">
      <c r="A113" s="3">
        <v>42291</v>
      </c>
      <c r="B113">
        <v>2003.66</v>
      </c>
      <c r="C113">
        <v>2009.56</v>
      </c>
      <c r="D113">
        <v>1990.73</v>
      </c>
      <c r="E113">
        <v>1994.24</v>
      </c>
      <c r="F113">
        <v>629947986</v>
      </c>
    </row>
    <row r="114" spans="1:6" ht="13" x14ac:dyDescent="0.15">
      <c r="A114" s="3">
        <v>42292</v>
      </c>
      <c r="B114">
        <v>1996.47</v>
      </c>
      <c r="C114">
        <v>2024.15</v>
      </c>
      <c r="D114">
        <v>1996.47</v>
      </c>
      <c r="E114">
        <v>2023.86</v>
      </c>
      <c r="F114">
        <v>671059272</v>
      </c>
    </row>
    <row r="115" spans="1:6" ht="13" x14ac:dyDescent="0.15">
      <c r="A115" s="3">
        <v>42293</v>
      </c>
      <c r="B115">
        <v>2024.37</v>
      </c>
      <c r="C115">
        <v>2033.54</v>
      </c>
      <c r="D115">
        <v>2020.46</v>
      </c>
      <c r="E115">
        <v>2033.11</v>
      </c>
      <c r="F115">
        <v>711470641</v>
      </c>
    </row>
    <row r="116" spans="1:6" ht="13" x14ac:dyDescent="0.15">
      <c r="A116" s="3">
        <v>42296</v>
      </c>
      <c r="B116">
        <v>2031.73</v>
      </c>
      <c r="C116">
        <v>2034.45</v>
      </c>
      <c r="D116">
        <v>2022.31</v>
      </c>
      <c r="E116">
        <v>2033.66</v>
      </c>
      <c r="F116">
        <v>600551881</v>
      </c>
    </row>
    <row r="117" spans="1:6" ht="13" x14ac:dyDescent="0.15">
      <c r="A117" s="3">
        <v>42297</v>
      </c>
      <c r="B117">
        <v>2033.13</v>
      </c>
      <c r="C117">
        <v>2039.12</v>
      </c>
      <c r="D117">
        <v>2026.61</v>
      </c>
      <c r="E117">
        <v>2030.77</v>
      </c>
      <c r="F117">
        <v>563655848</v>
      </c>
    </row>
    <row r="118" spans="1:6" ht="13" x14ac:dyDescent="0.15">
      <c r="A118" s="3">
        <v>42298</v>
      </c>
      <c r="B118">
        <v>2033.47</v>
      </c>
      <c r="C118">
        <v>2037.97</v>
      </c>
      <c r="D118">
        <v>2017.22</v>
      </c>
      <c r="E118">
        <v>2018.94</v>
      </c>
      <c r="F118">
        <v>610204136</v>
      </c>
    </row>
    <row r="119" spans="1:6" ht="13" x14ac:dyDescent="0.15">
      <c r="A119" s="3">
        <v>42299</v>
      </c>
      <c r="B119">
        <v>2021.88</v>
      </c>
      <c r="C119">
        <v>2055.1999999999998</v>
      </c>
      <c r="D119">
        <v>2021.88</v>
      </c>
      <c r="E119">
        <v>2052.5100000000002</v>
      </c>
      <c r="F119">
        <v>786028633</v>
      </c>
    </row>
    <row r="120" spans="1:6" ht="13" x14ac:dyDescent="0.15">
      <c r="A120" s="3">
        <v>42300</v>
      </c>
      <c r="B120">
        <v>2058.19</v>
      </c>
      <c r="C120">
        <v>2079.7399999999998</v>
      </c>
      <c r="D120">
        <v>2058.19</v>
      </c>
      <c r="E120">
        <v>2075.15</v>
      </c>
      <c r="F120">
        <v>745335577</v>
      </c>
    </row>
    <row r="121" spans="1:6" ht="13" x14ac:dyDescent="0.15">
      <c r="A121" s="3">
        <v>42303</v>
      </c>
      <c r="B121">
        <v>2075.08</v>
      </c>
      <c r="C121">
        <v>2075.14</v>
      </c>
      <c r="D121">
        <v>2066.5300000000002</v>
      </c>
      <c r="E121">
        <v>2071.1799999999998</v>
      </c>
      <c r="F121">
        <v>602332322</v>
      </c>
    </row>
    <row r="122" spans="1:6" ht="13" x14ac:dyDescent="0.15">
      <c r="A122" s="3">
        <v>42304</v>
      </c>
      <c r="B122">
        <v>2068.75</v>
      </c>
      <c r="C122">
        <v>2070.37</v>
      </c>
      <c r="D122">
        <v>2058.84</v>
      </c>
      <c r="E122">
        <v>2065.89</v>
      </c>
      <c r="F122">
        <v>650112593</v>
      </c>
    </row>
    <row r="123" spans="1:6" ht="13" x14ac:dyDescent="0.15">
      <c r="A123" s="3">
        <v>42305</v>
      </c>
      <c r="B123">
        <v>2066.48</v>
      </c>
      <c r="C123">
        <v>2090.35</v>
      </c>
      <c r="D123">
        <v>2063.11</v>
      </c>
      <c r="E123">
        <v>2090.35</v>
      </c>
      <c r="F123">
        <v>660968318</v>
      </c>
    </row>
    <row r="124" spans="1:6" ht="13" x14ac:dyDescent="0.15">
      <c r="A124" s="3">
        <v>42306</v>
      </c>
      <c r="B124">
        <v>2088.35</v>
      </c>
      <c r="C124">
        <v>2092.52</v>
      </c>
      <c r="D124">
        <v>2082.63</v>
      </c>
      <c r="E124">
        <v>2089.41</v>
      </c>
      <c r="F124">
        <v>549091191</v>
      </c>
    </row>
    <row r="125" spans="1:6" ht="13" x14ac:dyDescent="0.15">
      <c r="A125" s="3">
        <v>42307</v>
      </c>
      <c r="B125">
        <v>2090</v>
      </c>
      <c r="C125">
        <v>2094.3200000000002</v>
      </c>
      <c r="D125">
        <v>2079.34</v>
      </c>
      <c r="E125">
        <v>2079.36</v>
      </c>
      <c r="F125">
        <v>789097525</v>
      </c>
    </row>
    <row r="126" spans="1:6" ht="13" x14ac:dyDescent="0.15">
      <c r="A126" s="3">
        <v>42310</v>
      </c>
      <c r="B126">
        <v>2080.7600000000002</v>
      </c>
      <c r="C126">
        <v>2106.1999999999998</v>
      </c>
      <c r="D126">
        <v>2080.7600000000002</v>
      </c>
      <c r="E126">
        <v>2104.0500000000002</v>
      </c>
      <c r="F126">
        <v>579601950</v>
      </c>
    </row>
    <row r="127" spans="1:6" ht="13" x14ac:dyDescent="0.15">
      <c r="A127" s="3">
        <v>42311</v>
      </c>
      <c r="B127">
        <v>2102.63</v>
      </c>
      <c r="C127">
        <v>2116.48</v>
      </c>
      <c r="D127">
        <v>2097.5100000000002</v>
      </c>
      <c r="E127">
        <v>2109.79</v>
      </c>
      <c r="F127">
        <v>588205970</v>
      </c>
    </row>
    <row r="128" spans="1:6" ht="13" x14ac:dyDescent="0.15">
      <c r="A128" s="3">
        <v>42312</v>
      </c>
      <c r="B128">
        <v>2110.6</v>
      </c>
      <c r="C128">
        <v>2114.59</v>
      </c>
      <c r="D128">
        <v>2096.98</v>
      </c>
      <c r="E128">
        <v>2102.31</v>
      </c>
      <c r="F128">
        <v>615424681</v>
      </c>
    </row>
    <row r="129" spans="1:6" ht="13" x14ac:dyDescent="0.15">
      <c r="A129" s="3">
        <v>42313</v>
      </c>
      <c r="B129">
        <v>2101.6799999999998</v>
      </c>
      <c r="C129">
        <v>2108.7800000000002</v>
      </c>
      <c r="D129">
        <v>2090.41</v>
      </c>
      <c r="E129">
        <v>2099.9299999999998</v>
      </c>
      <c r="F129">
        <v>589737116</v>
      </c>
    </row>
    <row r="130" spans="1:6" ht="13" x14ac:dyDescent="0.15">
      <c r="A130" s="3">
        <v>42314</v>
      </c>
      <c r="B130">
        <v>2098.6</v>
      </c>
      <c r="C130">
        <v>2101.91</v>
      </c>
      <c r="D130">
        <v>2083.7399999999998</v>
      </c>
      <c r="E130">
        <v>2099.1999999999998</v>
      </c>
      <c r="F130">
        <v>661105431</v>
      </c>
    </row>
    <row r="131" spans="1:6" ht="13" x14ac:dyDescent="0.15">
      <c r="A131" s="3">
        <v>42317</v>
      </c>
      <c r="B131">
        <v>2096.56</v>
      </c>
      <c r="C131">
        <v>2096.56</v>
      </c>
      <c r="D131">
        <v>2068.2399999999998</v>
      </c>
      <c r="E131">
        <v>2078.58</v>
      </c>
      <c r="F131">
        <v>664847995</v>
      </c>
    </row>
    <row r="132" spans="1:6" ht="13" x14ac:dyDescent="0.15">
      <c r="A132" s="3">
        <v>42318</v>
      </c>
      <c r="B132">
        <v>2077.19</v>
      </c>
      <c r="C132">
        <v>2083.67</v>
      </c>
      <c r="D132">
        <v>2069.91</v>
      </c>
      <c r="E132">
        <v>2081.7199999999998</v>
      </c>
      <c r="F132">
        <v>564878625</v>
      </c>
    </row>
    <row r="133" spans="1:6" ht="13" x14ac:dyDescent="0.15">
      <c r="A133" s="3">
        <v>42319</v>
      </c>
      <c r="B133">
        <v>2083.41</v>
      </c>
      <c r="C133">
        <v>2086.94</v>
      </c>
      <c r="D133">
        <v>2074.85</v>
      </c>
      <c r="E133">
        <v>2075</v>
      </c>
      <c r="F133">
        <v>511666901</v>
      </c>
    </row>
    <row r="134" spans="1:6" ht="13" x14ac:dyDescent="0.15">
      <c r="A134" s="3">
        <v>42320</v>
      </c>
      <c r="B134">
        <v>2072.29</v>
      </c>
      <c r="C134">
        <v>2072.29</v>
      </c>
      <c r="D134">
        <v>2045.66</v>
      </c>
      <c r="E134">
        <v>2045.97</v>
      </c>
      <c r="F134">
        <v>573865618</v>
      </c>
    </row>
    <row r="135" spans="1:6" ht="13" x14ac:dyDescent="0.15">
      <c r="A135" s="3">
        <v>42321</v>
      </c>
      <c r="B135">
        <v>2044.64</v>
      </c>
      <c r="C135">
        <v>2044.64</v>
      </c>
      <c r="D135">
        <v>2022.02</v>
      </c>
      <c r="E135">
        <v>2023.04</v>
      </c>
      <c r="F135">
        <v>652851199</v>
      </c>
    </row>
    <row r="136" spans="1:6" ht="13" x14ac:dyDescent="0.15">
      <c r="A136" s="3">
        <v>42324</v>
      </c>
      <c r="B136">
        <v>2022.08</v>
      </c>
      <c r="C136">
        <v>2053.2199999999998</v>
      </c>
      <c r="D136">
        <v>2019.39</v>
      </c>
      <c r="E136">
        <v>2053.19</v>
      </c>
      <c r="F136">
        <v>607470471</v>
      </c>
    </row>
    <row r="137" spans="1:6" ht="13" x14ac:dyDescent="0.15">
      <c r="A137" s="3">
        <v>42325</v>
      </c>
      <c r="B137">
        <v>2053.67</v>
      </c>
      <c r="C137">
        <v>2066.69</v>
      </c>
      <c r="D137">
        <v>2045.9</v>
      </c>
      <c r="E137">
        <v>2050.44</v>
      </c>
      <c r="F137">
        <v>677184030</v>
      </c>
    </row>
    <row r="138" spans="1:6" ht="13" x14ac:dyDescent="0.15">
      <c r="A138" s="3">
        <v>42326</v>
      </c>
      <c r="B138">
        <v>2051.9899999999998</v>
      </c>
      <c r="C138">
        <v>2085.31</v>
      </c>
      <c r="D138">
        <v>2051.9899999999998</v>
      </c>
      <c r="E138">
        <v>2083.58</v>
      </c>
      <c r="F138">
        <v>608652201</v>
      </c>
    </row>
    <row r="139" spans="1:6" ht="13" x14ac:dyDescent="0.15">
      <c r="A139" s="3">
        <v>42327</v>
      </c>
      <c r="B139">
        <v>2083.6999999999998</v>
      </c>
      <c r="C139">
        <v>2086.7399999999998</v>
      </c>
      <c r="D139">
        <v>2078.7600000000002</v>
      </c>
      <c r="E139">
        <v>2081.2399999999998</v>
      </c>
      <c r="F139">
        <v>536851932</v>
      </c>
    </row>
    <row r="140" spans="1:6" ht="13" x14ac:dyDescent="0.15">
      <c r="A140" s="3">
        <v>42328</v>
      </c>
      <c r="B140">
        <v>2082.8200000000002</v>
      </c>
      <c r="C140">
        <v>2097.06</v>
      </c>
      <c r="D140">
        <v>2082.8200000000002</v>
      </c>
      <c r="E140">
        <v>2089.17</v>
      </c>
      <c r="F140">
        <v>689172913</v>
      </c>
    </row>
    <row r="141" spans="1:6" ht="13" x14ac:dyDescent="0.15">
      <c r="A141" s="3">
        <v>42331</v>
      </c>
      <c r="B141">
        <v>2089.41</v>
      </c>
      <c r="C141">
        <v>2095.61</v>
      </c>
      <c r="D141">
        <v>2081.39</v>
      </c>
      <c r="E141">
        <v>2086.59</v>
      </c>
      <c r="F141">
        <v>571414251</v>
      </c>
    </row>
    <row r="142" spans="1:6" ht="13" x14ac:dyDescent="0.15">
      <c r="A142" s="3">
        <v>42332</v>
      </c>
      <c r="B142">
        <v>2084.42</v>
      </c>
      <c r="C142">
        <v>2094.12</v>
      </c>
      <c r="D142">
        <v>2070.29</v>
      </c>
      <c r="E142">
        <v>2089.14</v>
      </c>
      <c r="F142">
        <v>607006689</v>
      </c>
    </row>
    <row r="143" spans="1:6" ht="13" x14ac:dyDescent="0.15">
      <c r="A143" s="3">
        <v>42333</v>
      </c>
      <c r="B143">
        <v>2089.3000000000002</v>
      </c>
      <c r="C143">
        <v>2093</v>
      </c>
      <c r="D143">
        <v>2086.3000000000002</v>
      </c>
      <c r="E143">
        <v>2088.87</v>
      </c>
      <c r="F143">
        <v>440227053</v>
      </c>
    </row>
    <row r="144" spans="1:6" ht="13" x14ac:dyDescent="0.15">
      <c r="A144" s="3">
        <v>42335</v>
      </c>
      <c r="B144">
        <v>2088.8200000000002</v>
      </c>
      <c r="C144">
        <v>2093.29</v>
      </c>
      <c r="D144">
        <v>2084.13</v>
      </c>
      <c r="E144">
        <v>2090.11</v>
      </c>
      <c r="F144">
        <v>240297214</v>
      </c>
    </row>
    <row r="145" spans="1:6" ht="13" x14ac:dyDescent="0.15">
      <c r="A145" s="3">
        <v>42338</v>
      </c>
      <c r="B145">
        <v>2090.9499999999998</v>
      </c>
      <c r="C145">
        <v>2093.81</v>
      </c>
      <c r="D145">
        <v>2080.41</v>
      </c>
      <c r="E145">
        <v>2080.41</v>
      </c>
      <c r="F145">
        <v>818038598</v>
      </c>
    </row>
    <row r="146" spans="1:6" ht="13" x14ac:dyDescent="0.15">
      <c r="A146" s="3">
        <v>42339</v>
      </c>
      <c r="B146">
        <v>2082.9299999999998</v>
      </c>
      <c r="C146">
        <v>2103.37</v>
      </c>
      <c r="D146">
        <v>2082.9299999999998</v>
      </c>
      <c r="E146">
        <v>2102.63</v>
      </c>
      <c r="F146">
        <v>591053709</v>
      </c>
    </row>
    <row r="147" spans="1:6" ht="13" x14ac:dyDescent="0.15">
      <c r="A147" s="3">
        <v>42340</v>
      </c>
      <c r="B147">
        <v>2101.71</v>
      </c>
      <c r="C147">
        <v>2104.27</v>
      </c>
      <c r="D147">
        <v>2077.11</v>
      </c>
      <c r="E147">
        <v>2079.5100000000002</v>
      </c>
      <c r="F147">
        <v>615433393</v>
      </c>
    </row>
    <row r="148" spans="1:6" ht="13" x14ac:dyDescent="0.15">
      <c r="A148" s="3">
        <v>42341</v>
      </c>
      <c r="B148">
        <v>2080.71</v>
      </c>
      <c r="C148">
        <v>2085</v>
      </c>
      <c r="D148">
        <v>2042.35</v>
      </c>
      <c r="E148">
        <v>2049.62</v>
      </c>
      <c r="F148">
        <v>749534853</v>
      </c>
    </row>
    <row r="149" spans="1:6" ht="13" x14ac:dyDescent="0.15">
      <c r="A149" s="3">
        <v>42342</v>
      </c>
      <c r="B149">
        <v>2051.2399999999998</v>
      </c>
      <c r="C149">
        <v>2093.84</v>
      </c>
      <c r="D149">
        <v>2051.2399999999998</v>
      </c>
      <c r="E149">
        <v>2091.69</v>
      </c>
      <c r="F149">
        <v>740000496</v>
      </c>
    </row>
    <row r="150" spans="1:6" ht="13" x14ac:dyDescent="0.15">
      <c r="A150" s="3">
        <v>42345</v>
      </c>
      <c r="B150">
        <v>2090.42</v>
      </c>
      <c r="C150">
        <v>2090.42</v>
      </c>
      <c r="D150">
        <v>2066.7800000000002</v>
      </c>
      <c r="E150">
        <v>2077.0700000000002</v>
      </c>
      <c r="F150">
        <v>639169032</v>
      </c>
    </row>
    <row r="151" spans="1:6" ht="13" x14ac:dyDescent="0.15">
      <c r="A151" s="3">
        <v>42346</v>
      </c>
      <c r="B151">
        <v>2073.39</v>
      </c>
      <c r="C151">
        <v>2073.85</v>
      </c>
      <c r="D151">
        <v>2052.3200000000002</v>
      </c>
      <c r="E151">
        <v>2063.59</v>
      </c>
      <c r="F151">
        <v>666623202</v>
      </c>
    </row>
    <row r="152" spans="1:6" ht="13" x14ac:dyDescent="0.15">
      <c r="A152" s="3">
        <v>42347</v>
      </c>
      <c r="B152">
        <v>2061.17</v>
      </c>
      <c r="C152">
        <v>2080.33</v>
      </c>
      <c r="D152">
        <v>2036.53</v>
      </c>
      <c r="E152">
        <v>2047.62</v>
      </c>
      <c r="F152">
        <v>719904950</v>
      </c>
    </row>
    <row r="153" spans="1:6" ht="13" x14ac:dyDescent="0.15">
      <c r="A153" s="3">
        <v>42348</v>
      </c>
      <c r="B153">
        <v>2047.93</v>
      </c>
      <c r="C153">
        <v>2067.65</v>
      </c>
      <c r="D153">
        <v>2045.67</v>
      </c>
      <c r="E153">
        <v>2052.23</v>
      </c>
      <c r="F153">
        <v>597997497</v>
      </c>
    </row>
    <row r="154" spans="1:6" ht="13" x14ac:dyDescent="0.15">
      <c r="A154" s="3">
        <v>42349</v>
      </c>
      <c r="B154">
        <v>2047.27</v>
      </c>
      <c r="C154">
        <v>2047.27</v>
      </c>
      <c r="D154">
        <v>2008.8</v>
      </c>
      <c r="E154">
        <v>2012.37</v>
      </c>
      <c r="F154">
        <v>718417683</v>
      </c>
    </row>
    <row r="155" spans="1:6" ht="13" x14ac:dyDescent="0.15">
      <c r="A155" s="3">
        <v>42352</v>
      </c>
      <c r="B155">
        <v>2013.37</v>
      </c>
      <c r="C155">
        <v>2022.92</v>
      </c>
      <c r="D155">
        <v>1993.26</v>
      </c>
      <c r="E155">
        <v>2021.94</v>
      </c>
      <c r="F155">
        <v>771571435</v>
      </c>
    </row>
    <row r="156" spans="1:6" ht="13" x14ac:dyDescent="0.15">
      <c r="A156" s="3">
        <v>42353</v>
      </c>
      <c r="B156">
        <v>2025.55</v>
      </c>
      <c r="C156">
        <v>2053.87</v>
      </c>
      <c r="D156">
        <v>2025.55</v>
      </c>
      <c r="E156">
        <v>2043.41</v>
      </c>
      <c r="F156">
        <v>689853132</v>
      </c>
    </row>
    <row r="157" spans="1:6" ht="13" x14ac:dyDescent="0.15">
      <c r="A157" s="3">
        <v>42354</v>
      </c>
      <c r="B157">
        <v>2046.5</v>
      </c>
      <c r="C157">
        <v>2076.7199999999998</v>
      </c>
      <c r="D157">
        <v>2042.43</v>
      </c>
      <c r="E157">
        <v>2073.0700000000002</v>
      </c>
      <c r="F157">
        <v>680651840</v>
      </c>
    </row>
    <row r="158" spans="1:6" ht="13" x14ac:dyDescent="0.15">
      <c r="A158" s="3">
        <v>42355</v>
      </c>
      <c r="B158">
        <v>2073.7600000000002</v>
      </c>
      <c r="C158">
        <v>2076.37</v>
      </c>
      <c r="D158">
        <v>2041.66</v>
      </c>
      <c r="E158">
        <v>2041.89</v>
      </c>
      <c r="F158">
        <v>646285876</v>
      </c>
    </row>
    <row r="159" spans="1:6" ht="13" x14ac:dyDescent="0.15">
      <c r="A159" s="3">
        <v>42356</v>
      </c>
      <c r="B159">
        <v>2040.81</v>
      </c>
      <c r="C159">
        <v>2040.81</v>
      </c>
      <c r="D159">
        <v>2005.33</v>
      </c>
      <c r="E159">
        <v>2005.55</v>
      </c>
      <c r="F159">
        <v>737827389</v>
      </c>
    </row>
    <row r="160" spans="1:6" ht="13" x14ac:dyDescent="0.15">
      <c r="A160" s="3">
        <v>42359</v>
      </c>
      <c r="B160">
        <v>2010.27</v>
      </c>
      <c r="C160">
        <v>2022.9</v>
      </c>
      <c r="D160">
        <v>2005.93</v>
      </c>
      <c r="E160">
        <v>2021.15</v>
      </c>
      <c r="F160">
        <v>610294061</v>
      </c>
    </row>
    <row r="161" spans="1:6" ht="13" x14ac:dyDescent="0.15">
      <c r="A161" s="3">
        <v>42360</v>
      </c>
      <c r="B161">
        <v>2023.15</v>
      </c>
      <c r="C161">
        <v>2042.74</v>
      </c>
      <c r="D161">
        <v>2020.49</v>
      </c>
      <c r="E161">
        <v>2038.97</v>
      </c>
      <c r="F161">
        <v>546862689</v>
      </c>
    </row>
    <row r="162" spans="1:6" ht="13" x14ac:dyDescent="0.15">
      <c r="A162" s="3">
        <v>42361</v>
      </c>
      <c r="B162">
        <v>2042.2</v>
      </c>
      <c r="C162">
        <v>2064.73</v>
      </c>
      <c r="D162">
        <v>2042.2</v>
      </c>
      <c r="E162">
        <v>2064.29</v>
      </c>
      <c r="F162">
        <v>545191292</v>
      </c>
    </row>
    <row r="163" spans="1:6" ht="13" x14ac:dyDescent="0.15">
      <c r="A163" s="3">
        <v>42362</v>
      </c>
      <c r="B163">
        <v>2063.52</v>
      </c>
      <c r="C163">
        <v>2067.36</v>
      </c>
      <c r="D163">
        <v>2058.73</v>
      </c>
      <c r="E163">
        <v>2060.9899999999998</v>
      </c>
      <c r="F163">
        <v>250570206</v>
      </c>
    </row>
    <row r="164" spans="1:6" ht="13" x14ac:dyDescent="0.15">
      <c r="A164" s="3">
        <v>42366</v>
      </c>
      <c r="B164">
        <v>2057.77</v>
      </c>
      <c r="C164">
        <v>2057.77</v>
      </c>
      <c r="D164">
        <v>2044.2</v>
      </c>
      <c r="E164">
        <v>2056.5</v>
      </c>
      <c r="F164">
        <v>367737617</v>
      </c>
    </row>
    <row r="165" spans="1:6" ht="13" x14ac:dyDescent="0.15">
      <c r="A165" s="3">
        <v>42367</v>
      </c>
      <c r="B165">
        <v>2060.54</v>
      </c>
      <c r="C165">
        <v>2081.56</v>
      </c>
      <c r="D165">
        <v>2060.54</v>
      </c>
      <c r="E165">
        <v>2078.36</v>
      </c>
      <c r="F165">
        <v>379027946</v>
      </c>
    </row>
    <row r="166" spans="1:6" ht="13" x14ac:dyDescent="0.15">
      <c r="A166" s="3">
        <v>42368</v>
      </c>
      <c r="B166">
        <v>2077.34</v>
      </c>
      <c r="C166">
        <v>2077.34</v>
      </c>
      <c r="D166">
        <v>2061.9699999999998</v>
      </c>
      <c r="E166">
        <v>2063.36</v>
      </c>
      <c r="F166">
        <v>334631231</v>
      </c>
    </row>
    <row r="167" spans="1:6" ht="13" x14ac:dyDescent="0.15">
      <c r="A167" s="3">
        <v>42369</v>
      </c>
      <c r="B167">
        <v>2060.59</v>
      </c>
      <c r="C167">
        <v>2062.54</v>
      </c>
      <c r="D167">
        <v>2043.62</v>
      </c>
      <c r="E167">
        <v>2043.94</v>
      </c>
      <c r="F167">
        <v>482596709</v>
      </c>
    </row>
    <row r="168" spans="1:6" ht="13" x14ac:dyDescent="0.15">
      <c r="A168" s="3">
        <v>42373</v>
      </c>
      <c r="B168">
        <v>2038.2</v>
      </c>
      <c r="C168">
        <v>2038.2</v>
      </c>
      <c r="D168">
        <v>1989.68</v>
      </c>
      <c r="E168">
        <v>2012.66</v>
      </c>
      <c r="F168">
        <v>802072115</v>
      </c>
    </row>
    <row r="169" spans="1:6" ht="13" x14ac:dyDescent="0.15">
      <c r="A169" s="3">
        <v>42374</v>
      </c>
      <c r="B169">
        <v>2013.78</v>
      </c>
      <c r="C169">
        <v>2021.94</v>
      </c>
      <c r="D169">
        <v>2004.17</v>
      </c>
      <c r="E169">
        <v>2016.71</v>
      </c>
      <c r="F169">
        <v>619260483</v>
      </c>
    </row>
    <row r="170" spans="1:6" ht="13" x14ac:dyDescent="0.15">
      <c r="A170" s="3">
        <v>42375</v>
      </c>
      <c r="B170">
        <v>2011.71</v>
      </c>
      <c r="C170">
        <v>2011.71</v>
      </c>
      <c r="D170">
        <v>1979.05</v>
      </c>
      <c r="E170">
        <v>1990.26</v>
      </c>
      <c r="F170">
        <v>734820348</v>
      </c>
    </row>
    <row r="171" spans="1:6" ht="13" x14ac:dyDescent="0.15">
      <c r="A171" s="3">
        <v>42376</v>
      </c>
      <c r="B171">
        <v>1985.32</v>
      </c>
      <c r="C171">
        <v>1985.32</v>
      </c>
      <c r="D171">
        <v>1938.83</v>
      </c>
      <c r="E171">
        <v>1943.09</v>
      </c>
      <c r="F171">
        <v>860517477</v>
      </c>
    </row>
    <row r="172" spans="1:6" ht="13" x14ac:dyDescent="0.15">
      <c r="A172" s="3">
        <v>42377</v>
      </c>
      <c r="B172">
        <v>1945.97</v>
      </c>
      <c r="C172">
        <v>1960.4</v>
      </c>
      <c r="D172">
        <v>1918.46</v>
      </c>
      <c r="E172">
        <v>1922.03</v>
      </c>
      <c r="F172">
        <v>800798104</v>
      </c>
    </row>
    <row r="173" spans="1:6" ht="13" x14ac:dyDescent="0.15">
      <c r="A173" s="3">
        <v>42380</v>
      </c>
      <c r="B173">
        <v>1926.12</v>
      </c>
      <c r="C173">
        <v>1935.65</v>
      </c>
      <c r="D173">
        <v>1901.1</v>
      </c>
      <c r="E173">
        <v>1923.67</v>
      </c>
      <c r="F173">
        <v>775646469</v>
      </c>
    </row>
    <row r="174" spans="1:6" ht="13" x14ac:dyDescent="0.15">
      <c r="A174" s="3">
        <v>42381</v>
      </c>
      <c r="B174">
        <v>1927.83</v>
      </c>
      <c r="C174">
        <v>1947.38</v>
      </c>
      <c r="D174">
        <v>1914.35</v>
      </c>
      <c r="E174">
        <v>1938.68</v>
      </c>
      <c r="F174">
        <v>759189614</v>
      </c>
    </row>
    <row r="175" spans="1:6" ht="13" x14ac:dyDescent="0.15">
      <c r="A175" s="3">
        <v>42382</v>
      </c>
      <c r="B175">
        <v>1940.34</v>
      </c>
      <c r="C175">
        <v>1950.33</v>
      </c>
      <c r="D175">
        <v>1886.41</v>
      </c>
      <c r="E175">
        <v>1890.28</v>
      </c>
      <c r="F175">
        <v>874565406</v>
      </c>
    </row>
    <row r="176" spans="1:6" ht="13" x14ac:dyDescent="0.15">
      <c r="A176" s="3">
        <v>42383</v>
      </c>
      <c r="B176">
        <v>1891.68</v>
      </c>
      <c r="C176">
        <v>1934.47</v>
      </c>
      <c r="D176">
        <v>1878.93</v>
      </c>
      <c r="E176">
        <v>1921.84</v>
      </c>
      <c r="F176">
        <v>920305719</v>
      </c>
    </row>
    <row r="177" spans="1:6" ht="13" x14ac:dyDescent="0.15">
      <c r="A177" s="3">
        <v>42384</v>
      </c>
      <c r="B177">
        <v>1916.68</v>
      </c>
      <c r="C177">
        <v>1916.68</v>
      </c>
      <c r="D177">
        <v>1857.83</v>
      </c>
      <c r="E177">
        <v>1880.33</v>
      </c>
      <c r="F177">
        <v>121200428</v>
      </c>
    </row>
    <row r="178" spans="1:6" ht="13" x14ac:dyDescent="0.15">
      <c r="A178" s="3">
        <v>42388</v>
      </c>
      <c r="B178">
        <v>1888.66</v>
      </c>
      <c r="C178">
        <v>1901.44</v>
      </c>
      <c r="D178">
        <v>1864.6</v>
      </c>
      <c r="E178">
        <v>1881.33</v>
      </c>
      <c r="F178">
        <v>876359950</v>
      </c>
    </row>
    <row r="179" spans="1:6" ht="13" x14ac:dyDescent="0.15">
      <c r="A179" s="3">
        <v>42389</v>
      </c>
      <c r="B179">
        <v>1876.18</v>
      </c>
      <c r="C179">
        <v>1876.18</v>
      </c>
      <c r="D179">
        <v>1812.29</v>
      </c>
      <c r="E179">
        <v>1859.33</v>
      </c>
      <c r="F179">
        <v>4309713</v>
      </c>
    </row>
    <row r="180" spans="1:6" ht="13" x14ac:dyDescent="0.15">
      <c r="A180" s="3">
        <v>42390</v>
      </c>
      <c r="B180">
        <v>1861.46</v>
      </c>
      <c r="C180">
        <v>1889.85</v>
      </c>
      <c r="D180">
        <v>1848.98</v>
      </c>
      <c r="E180">
        <v>1868.99</v>
      </c>
      <c r="F180">
        <v>853633943</v>
      </c>
    </row>
    <row r="181" spans="1:6" ht="13" x14ac:dyDescent="0.15">
      <c r="A181" s="3">
        <v>42391</v>
      </c>
      <c r="B181">
        <v>1877.4</v>
      </c>
      <c r="C181">
        <v>1908.85</v>
      </c>
      <c r="D181">
        <v>1877.4</v>
      </c>
      <c r="E181">
        <v>1906.9</v>
      </c>
      <c r="F181">
        <v>809147435</v>
      </c>
    </row>
    <row r="182" spans="1:6" ht="13" x14ac:dyDescent="0.15">
      <c r="A182" s="3">
        <v>42394</v>
      </c>
      <c r="B182">
        <v>1906.28</v>
      </c>
      <c r="C182">
        <v>1906.28</v>
      </c>
      <c r="D182">
        <v>1875.97</v>
      </c>
      <c r="E182">
        <v>1877.08</v>
      </c>
      <c r="F182">
        <v>760931974</v>
      </c>
    </row>
    <row r="183" spans="1:6" ht="13" x14ac:dyDescent="0.15">
      <c r="A183" s="3">
        <v>42395</v>
      </c>
      <c r="B183">
        <v>1878.79</v>
      </c>
      <c r="C183">
        <v>1906.73</v>
      </c>
      <c r="D183">
        <v>1878.79</v>
      </c>
      <c r="E183">
        <v>1903.63</v>
      </c>
      <c r="F183">
        <v>695956044</v>
      </c>
    </row>
    <row r="184" spans="1:6" ht="13" x14ac:dyDescent="0.15">
      <c r="A184" s="3">
        <v>42396</v>
      </c>
      <c r="B184">
        <v>1902.52</v>
      </c>
      <c r="C184">
        <v>1916.99</v>
      </c>
      <c r="D184">
        <v>1872.7</v>
      </c>
      <c r="E184">
        <v>1882.95</v>
      </c>
      <c r="F184">
        <v>801306427</v>
      </c>
    </row>
    <row r="185" spans="1:6" ht="13" x14ac:dyDescent="0.15">
      <c r="A185" s="3">
        <v>42397</v>
      </c>
      <c r="B185">
        <v>1885.22</v>
      </c>
      <c r="C185">
        <v>1902.96</v>
      </c>
      <c r="D185">
        <v>1873.65</v>
      </c>
      <c r="E185">
        <v>1893.36</v>
      </c>
      <c r="F185">
        <v>820296447</v>
      </c>
    </row>
    <row r="186" spans="1:6" ht="13" x14ac:dyDescent="0.15">
      <c r="A186" s="3">
        <v>42398</v>
      </c>
      <c r="B186">
        <v>1894</v>
      </c>
      <c r="C186">
        <v>1940.24</v>
      </c>
      <c r="D186">
        <v>1894</v>
      </c>
      <c r="E186">
        <v>1940.24</v>
      </c>
      <c r="F186">
        <v>144609311</v>
      </c>
    </row>
    <row r="187" spans="1:6" ht="13" x14ac:dyDescent="0.15">
      <c r="A187" s="3">
        <v>42401</v>
      </c>
      <c r="B187">
        <v>1936.94</v>
      </c>
      <c r="C187">
        <v>1947.2</v>
      </c>
      <c r="D187">
        <v>1920.3</v>
      </c>
      <c r="E187">
        <v>1939.38</v>
      </c>
      <c r="F187">
        <v>714148314</v>
      </c>
    </row>
    <row r="188" spans="1:6" ht="13" x14ac:dyDescent="0.15">
      <c r="A188" s="3">
        <v>42402</v>
      </c>
      <c r="B188">
        <v>1935.26</v>
      </c>
      <c r="C188">
        <v>1935.26</v>
      </c>
      <c r="D188">
        <v>1897.29</v>
      </c>
      <c r="E188">
        <v>1903.03</v>
      </c>
      <c r="F188">
        <v>788015916</v>
      </c>
    </row>
    <row r="189" spans="1:6" ht="13" x14ac:dyDescent="0.15">
      <c r="A189" s="3">
        <v>42403</v>
      </c>
      <c r="B189">
        <v>1907.07</v>
      </c>
      <c r="C189">
        <v>1918.01</v>
      </c>
      <c r="D189">
        <v>1872.23</v>
      </c>
      <c r="E189">
        <v>1912.53</v>
      </c>
      <c r="F189">
        <v>893685485</v>
      </c>
    </row>
    <row r="190" spans="1:6" ht="13" x14ac:dyDescent="0.15">
      <c r="A190" s="3">
        <v>42404</v>
      </c>
      <c r="B190">
        <v>1911.67</v>
      </c>
      <c r="C190">
        <v>1927.35</v>
      </c>
      <c r="D190">
        <v>1900.52</v>
      </c>
      <c r="E190">
        <v>1915.45</v>
      </c>
      <c r="F190">
        <v>865531792</v>
      </c>
    </row>
    <row r="191" spans="1:6" ht="13" x14ac:dyDescent="0.15">
      <c r="A191" s="3">
        <v>42405</v>
      </c>
      <c r="B191">
        <v>1913.07</v>
      </c>
      <c r="C191">
        <v>1913.07</v>
      </c>
      <c r="D191">
        <v>1872.65</v>
      </c>
      <c r="E191">
        <v>1880.05</v>
      </c>
      <c r="F191">
        <v>866331912</v>
      </c>
    </row>
    <row r="192" spans="1:6" ht="13" x14ac:dyDescent="0.15">
      <c r="A192" s="3">
        <v>42408</v>
      </c>
      <c r="B192">
        <v>1873.25</v>
      </c>
      <c r="C192">
        <v>1873.25</v>
      </c>
      <c r="D192">
        <v>1828.46</v>
      </c>
      <c r="E192">
        <v>1853.44</v>
      </c>
      <c r="F192">
        <v>1012893978</v>
      </c>
    </row>
    <row r="193" spans="1:6" ht="13" x14ac:dyDescent="0.15">
      <c r="A193" s="3">
        <v>42409</v>
      </c>
      <c r="B193">
        <v>1848.46</v>
      </c>
      <c r="C193">
        <v>1868.25</v>
      </c>
      <c r="D193">
        <v>1834.94</v>
      </c>
      <c r="E193">
        <v>1852.21</v>
      </c>
      <c r="F193">
        <v>847335260</v>
      </c>
    </row>
    <row r="194" spans="1:6" ht="13" x14ac:dyDescent="0.15">
      <c r="A194" s="3">
        <v>42410</v>
      </c>
      <c r="B194">
        <v>1857.1</v>
      </c>
      <c r="C194">
        <v>1881.6</v>
      </c>
      <c r="D194">
        <v>1850.32</v>
      </c>
      <c r="E194">
        <v>1851.86</v>
      </c>
      <c r="F194">
        <v>765063599</v>
      </c>
    </row>
    <row r="195" spans="1:6" ht="13" x14ac:dyDescent="0.15">
      <c r="A195" s="3">
        <v>42411</v>
      </c>
      <c r="B195">
        <v>1847</v>
      </c>
      <c r="C195">
        <v>1847</v>
      </c>
      <c r="D195">
        <v>1810.1</v>
      </c>
      <c r="E195">
        <v>1829.08</v>
      </c>
      <c r="F195">
        <v>959312839</v>
      </c>
    </row>
    <row r="196" spans="1:6" ht="13" x14ac:dyDescent="0.15">
      <c r="A196" s="3">
        <v>42412</v>
      </c>
      <c r="B196">
        <v>1833.4</v>
      </c>
      <c r="C196">
        <v>1864.78</v>
      </c>
      <c r="D196">
        <v>1833.4</v>
      </c>
      <c r="E196">
        <v>1864.78</v>
      </c>
      <c r="F196">
        <v>803669163</v>
      </c>
    </row>
    <row r="197" spans="1:6" ht="13" x14ac:dyDescent="0.15">
      <c r="A197" s="3">
        <v>42416</v>
      </c>
      <c r="B197">
        <v>1871.44</v>
      </c>
      <c r="C197">
        <v>1895.77</v>
      </c>
      <c r="D197">
        <v>1871.44</v>
      </c>
      <c r="E197">
        <v>1895.58</v>
      </c>
      <c r="F197">
        <v>840931331</v>
      </c>
    </row>
    <row r="198" spans="1:6" ht="13" x14ac:dyDescent="0.15">
      <c r="A198" s="3">
        <v>42417</v>
      </c>
      <c r="B198">
        <v>1898.8</v>
      </c>
      <c r="C198">
        <v>1930.68</v>
      </c>
      <c r="D198">
        <v>1898.8</v>
      </c>
      <c r="E198">
        <v>1926.82</v>
      </c>
      <c r="F198">
        <v>818658375</v>
      </c>
    </row>
    <row r="199" spans="1:6" ht="13" x14ac:dyDescent="0.15">
      <c r="A199" s="3">
        <v>42418</v>
      </c>
      <c r="B199">
        <v>1927.57</v>
      </c>
      <c r="C199">
        <v>1930</v>
      </c>
      <c r="D199">
        <v>1915.09</v>
      </c>
      <c r="E199">
        <v>1917.83</v>
      </c>
      <c r="F199">
        <v>729872023</v>
      </c>
    </row>
    <row r="200" spans="1:6" ht="13" x14ac:dyDescent="0.15">
      <c r="A200" s="3">
        <v>42419</v>
      </c>
      <c r="B200">
        <v>1916.74</v>
      </c>
      <c r="C200">
        <v>1918.78</v>
      </c>
      <c r="D200">
        <v>1902.17</v>
      </c>
      <c r="E200">
        <v>1917.78</v>
      </c>
      <c r="F200">
        <v>862747420</v>
      </c>
    </row>
    <row r="201" spans="1:6" ht="13" x14ac:dyDescent="0.15">
      <c r="A201" s="3">
        <v>42422</v>
      </c>
      <c r="B201">
        <v>1924.44</v>
      </c>
      <c r="C201">
        <v>1946.7</v>
      </c>
      <c r="D201">
        <v>1924.44</v>
      </c>
      <c r="E201">
        <v>1945.5</v>
      </c>
      <c r="F201">
        <v>663513182</v>
      </c>
    </row>
    <row r="202" spans="1:6" ht="13" x14ac:dyDescent="0.15">
      <c r="A202" s="3">
        <v>42423</v>
      </c>
      <c r="B202">
        <v>1942.38</v>
      </c>
      <c r="C202">
        <v>1942.38</v>
      </c>
      <c r="D202">
        <v>1919.44</v>
      </c>
      <c r="E202">
        <v>1921.27</v>
      </c>
      <c r="F202">
        <v>626779261</v>
      </c>
    </row>
    <row r="203" spans="1:6" ht="13" x14ac:dyDescent="0.15">
      <c r="A203" s="3">
        <v>42424</v>
      </c>
      <c r="B203">
        <v>1917.56</v>
      </c>
      <c r="C203">
        <v>1932.08</v>
      </c>
      <c r="D203">
        <v>1891</v>
      </c>
      <c r="E203">
        <v>1929.8</v>
      </c>
      <c r="F203">
        <v>662291401</v>
      </c>
    </row>
    <row r="204" spans="1:6" ht="13" x14ac:dyDescent="0.15">
      <c r="A204" s="3">
        <v>42425</v>
      </c>
      <c r="B204">
        <v>1931.87</v>
      </c>
      <c r="C204">
        <v>1951.83</v>
      </c>
      <c r="D204">
        <v>1925.41</v>
      </c>
      <c r="E204">
        <v>1951.7</v>
      </c>
      <c r="F204">
        <v>590047710</v>
      </c>
    </row>
    <row r="205" spans="1:6" ht="13" x14ac:dyDescent="0.15">
      <c r="A205" s="3">
        <v>42426</v>
      </c>
      <c r="B205">
        <v>1954.95</v>
      </c>
      <c r="C205">
        <v>1962.96</v>
      </c>
      <c r="D205">
        <v>1945.78</v>
      </c>
      <c r="E205">
        <v>1948.05</v>
      </c>
      <c r="F205">
        <v>669969843</v>
      </c>
    </row>
    <row r="206" spans="1:6" ht="13" x14ac:dyDescent="0.15">
      <c r="A206" s="3">
        <v>42429</v>
      </c>
      <c r="B206">
        <v>1947.13</v>
      </c>
      <c r="C206">
        <v>1958.27</v>
      </c>
      <c r="D206">
        <v>1931.81</v>
      </c>
      <c r="E206">
        <v>1932.23</v>
      </c>
      <c r="F206">
        <v>849487499</v>
      </c>
    </row>
    <row r="207" spans="1:6" ht="13" x14ac:dyDescent="0.15">
      <c r="A207" s="3">
        <v>42430</v>
      </c>
      <c r="B207">
        <v>1937.09</v>
      </c>
      <c r="C207">
        <v>1978.35</v>
      </c>
      <c r="D207">
        <v>1937.09</v>
      </c>
      <c r="E207">
        <v>1978.35</v>
      </c>
      <c r="F207">
        <v>742687074</v>
      </c>
    </row>
    <row r="208" spans="1:6" ht="13" x14ac:dyDescent="0.15">
      <c r="A208" s="3">
        <v>42431</v>
      </c>
      <c r="B208">
        <v>1976.6</v>
      </c>
      <c r="C208">
        <v>1986.51</v>
      </c>
      <c r="D208">
        <v>1968.8</v>
      </c>
      <c r="E208">
        <v>1986.45</v>
      </c>
      <c r="F208">
        <v>680819457</v>
      </c>
    </row>
    <row r="209" spans="1:6" ht="13" x14ac:dyDescent="0.15">
      <c r="A209" s="3">
        <v>42432</v>
      </c>
      <c r="B209">
        <v>1985.6</v>
      </c>
      <c r="C209">
        <v>1993.69</v>
      </c>
      <c r="D209">
        <v>1977.37</v>
      </c>
      <c r="E209">
        <v>1993.4</v>
      </c>
      <c r="F209">
        <v>667829915</v>
      </c>
    </row>
    <row r="210" spans="1:6" ht="13" x14ac:dyDescent="0.15">
      <c r="A210" s="3">
        <v>42433</v>
      </c>
      <c r="B210">
        <v>1994.01</v>
      </c>
      <c r="C210">
        <v>2009.13</v>
      </c>
      <c r="D210">
        <v>1986.77</v>
      </c>
      <c r="E210">
        <v>1999.99</v>
      </c>
      <c r="F210">
        <v>782584654</v>
      </c>
    </row>
    <row r="211" spans="1:6" ht="13" x14ac:dyDescent="0.15">
      <c r="A211" s="3">
        <v>42436</v>
      </c>
      <c r="B211">
        <v>1996.11</v>
      </c>
      <c r="C211">
        <v>2006.12</v>
      </c>
      <c r="D211">
        <v>1989.38</v>
      </c>
      <c r="E211">
        <v>2001.76</v>
      </c>
      <c r="F211">
        <v>654455151</v>
      </c>
    </row>
    <row r="212" spans="1:6" ht="13" x14ac:dyDescent="0.15">
      <c r="A212" s="3">
        <v>42437</v>
      </c>
      <c r="B212">
        <v>1996.88</v>
      </c>
      <c r="C212">
        <v>1996.88</v>
      </c>
      <c r="D212">
        <v>1977.43</v>
      </c>
      <c r="E212">
        <v>1979.26</v>
      </c>
      <c r="F212">
        <v>699806748</v>
      </c>
    </row>
    <row r="213" spans="1:6" ht="13" x14ac:dyDescent="0.15">
      <c r="A213" s="3">
        <v>42438</v>
      </c>
      <c r="B213">
        <v>1981.44</v>
      </c>
      <c r="C213">
        <v>1992.69</v>
      </c>
      <c r="D213">
        <v>1979.84</v>
      </c>
      <c r="E213">
        <v>1989.26</v>
      </c>
      <c r="F213">
        <v>608081877</v>
      </c>
    </row>
    <row r="214" spans="1:6" ht="13" x14ac:dyDescent="0.15">
      <c r="A214" s="3">
        <v>42439</v>
      </c>
      <c r="B214">
        <v>1990.97</v>
      </c>
      <c r="C214">
        <v>2005.08</v>
      </c>
      <c r="D214">
        <v>1969.25</v>
      </c>
      <c r="E214">
        <v>1989.57</v>
      </c>
      <c r="F214">
        <v>665444879</v>
      </c>
    </row>
    <row r="215" spans="1:6" ht="13" x14ac:dyDescent="0.15">
      <c r="A215" s="3">
        <v>42440</v>
      </c>
      <c r="B215">
        <v>1994.71</v>
      </c>
      <c r="C215">
        <v>2022.37</v>
      </c>
      <c r="D215">
        <v>1994.71</v>
      </c>
      <c r="E215">
        <v>2022.19</v>
      </c>
      <c r="F215">
        <v>641712853</v>
      </c>
    </row>
    <row r="216" spans="1:6" ht="13" x14ac:dyDescent="0.15">
      <c r="A216" s="3">
        <v>42443</v>
      </c>
      <c r="B216">
        <v>2019.27</v>
      </c>
      <c r="C216">
        <v>2024.57</v>
      </c>
      <c r="D216">
        <v>2012.05</v>
      </c>
      <c r="E216">
        <v>2019.64</v>
      </c>
      <c r="F216">
        <v>546841030</v>
      </c>
    </row>
    <row r="217" spans="1:6" ht="13" x14ac:dyDescent="0.15">
      <c r="A217" s="3">
        <v>42444</v>
      </c>
      <c r="B217">
        <v>2015.27</v>
      </c>
      <c r="C217">
        <v>2015.94</v>
      </c>
      <c r="D217">
        <v>2005.23</v>
      </c>
      <c r="E217">
        <v>2015.93</v>
      </c>
      <c r="F217">
        <v>529503338</v>
      </c>
    </row>
    <row r="218" spans="1:6" ht="13" x14ac:dyDescent="0.15">
      <c r="A218" s="3">
        <v>42445</v>
      </c>
      <c r="B218">
        <v>2014.24</v>
      </c>
      <c r="C218">
        <v>2032.02</v>
      </c>
      <c r="D218">
        <v>2010.04</v>
      </c>
      <c r="E218">
        <v>2027.22</v>
      </c>
      <c r="F218">
        <v>617671853</v>
      </c>
    </row>
    <row r="219" spans="1:6" ht="13" x14ac:dyDescent="0.15">
      <c r="A219" s="3">
        <v>42446</v>
      </c>
      <c r="B219">
        <v>2026.9</v>
      </c>
      <c r="C219">
        <v>2046.24</v>
      </c>
      <c r="D219">
        <v>2022.16</v>
      </c>
      <c r="E219">
        <v>2040.59</v>
      </c>
      <c r="F219">
        <v>661763816</v>
      </c>
    </row>
    <row r="220" spans="1:6" ht="13" x14ac:dyDescent="0.15">
      <c r="A220" s="3">
        <v>42447</v>
      </c>
      <c r="B220">
        <v>2041.16</v>
      </c>
      <c r="C220">
        <v>2052.36</v>
      </c>
      <c r="D220">
        <v>2041.16</v>
      </c>
      <c r="E220">
        <v>2049.58</v>
      </c>
      <c r="F220">
        <v>669416338</v>
      </c>
    </row>
    <row r="221" spans="1:6" ht="13" x14ac:dyDescent="0.15">
      <c r="A221" s="3">
        <v>42450</v>
      </c>
      <c r="B221">
        <v>2047.88</v>
      </c>
      <c r="C221">
        <v>2053.91</v>
      </c>
      <c r="D221">
        <v>2043.14</v>
      </c>
      <c r="E221">
        <v>2051.6</v>
      </c>
      <c r="F221">
        <v>535577137</v>
      </c>
    </row>
    <row r="222" spans="1:6" ht="13" x14ac:dyDescent="0.15">
      <c r="A222" s="3">
        <v>42451</v>
      </c>
      <c r="B222">
        <v>2048.64</v>
      </c>
      <c r="C222">
        <v>2056.6</v>
      </c>
      <c r="D222">
        <v>2040.57</v>
      </c>
      <c r="E222">
        <v>2049.8000000000002</v>
      </c>
      <c r="F222">
        <v>555485645</v>
      </c>
    </row>
    <row r="223" spans="1:6" ht="13" x14ac:dyDescent="0.15">
      <c r="A223" s="3">
        <v>42452</v>
      </c>
      <c r="B223">
        <v>2048.5500000000002</v>
      </c>
      <c r="C223">
        <v>2048.5500000000002</v>
      </c>
      <c r="D223">
        <v>2034.86</v>
      </c>
      <c r="E223">
        <v>2036.71</v>
      </c>
      <c r="F223">
        <v>542134056</v>
      </c>
    </row>
    <row r="224" spans="1:6" ht="13" x14ac:dyDescent="0.15">
      <c r="A224" s="3">
        <v>42453</v>
      </c>
      <c r="B224">
        <v>2032.48</v>
      </c>
      <c r="C224">
        <v>2036.04</v>
      </c>
      <c r="D224">
        <v>2022.49</v>
      </c>
      <c r="E224">
        <v>2035.94</v>
      </c>
      <c r="F224">
        <v>600131213</v>
      </c>
    </row>
    <row r="225" spans="1:6" ht="13" x14ac:dyDescent="0.15">
      <c r="A225" s="3">
        <v>42457</v>
      </c>
      <c r="B225">
        <v>2037.89</v>
      </c>
      <c r="C225">
        <v>2042.67</v>
      </c>
      <c r="D225">
        <v>2031.96</v>
      </c>
      <c r="E225">
        <v>2037.05</v>
      </c>
      <c r="F225">
        <v>460627846</v>
      </c>
    </row>
    <row r="226" spans="1:6" ht="13" x14ac:dyDescent="0.15">
      <c r="A226" s="3">
        <v>42458</v>
      </c>
      <c r="B226">
        <v>2035.75</v>
      </c>
      <c r="C226">
        <v>2055.91</v>
      </c>
      <c r="D226">
        <v>2028.31</v>
      </c>
      <c r="E226">
        <v>2055.0100000000002</v>
      </c>
      <c r="F226">
        <v>571883048</v>
      </c>
    </row>
    <row r="227" spans="1:6" ht="13" x14ac:dyDescent="0.15">
      <c r="A227" s="3">
        <v>42459</v>
      </c>
      <c r="B227">
        <v>2058.27</v>
      </c>
      <c r="C227">
        <v>2072.21</v>
      </c>
      <c r="D227">
        <v>2058.27</v>
      </c>
      <c r="E227">
        <v>2063.9499999999998</v>
      </c>
      <c r="F227">
        <v>511410521</v>
      </c>
    </row>
    <row r="228" spans="1:6" ht="13" x14ac:dyDescent="0.15">
      <c r="A228" s="3">
        <v>42460</v>
      </c>
      <c r="B228">
        <v>2063.77</v>
      </c>
      <c r="C228">
        <v>2067.92</v>
      </c>
      <c r="D228">
        <v>2057.46</v>
      </c>
      <c r="E228">
        <v>2059.7399999999998</v>
      </c>
      <c r="F228">
        <v>636510226</v>
      </c>
    </row>
    <row r="229" spans="1:6" ht="13" x14ac:dyDescent="0.15">
      <c r="A229" s="3">
        <v>42461</v>
      </c>
      <c r="B229">
        <v>2056.62</v>
      </c>
      <c r="C229">
        <v>2075.0700000000002</v>
      </c>
      <c r="D229">
        <v>2043.98</v>
      </c>
      <c r="E229">
        <v>2072.7800000000002</v>
      </c>
      <c r="F229">
        <v>655021615</v>
      </c>
    </row>
    <row r="230" spans="1:6" ht="13" x14ac:dyDescent="0.15">
      <c r="A230" s="3">
        <v>42464</v>
      </c>
      <c r="B230">
        <v>2073.19</v>
      </c>
      <c r="C230">
        <v>2074.02</v>
      </c>
      <c r="D230">
        <v>2062.5700000000002</v>
      </c>
      <c r="E230">
        <v>2066.13</v>
      </c>
      <c r="F230">
        <v>532705295</v>
      </c>
    </row>
    <row r="231" spans="1:6" ht="13" x14ac:dyDescent="0.15">
      <c r="A231" s="3">
        <v>42465</v>
      </c>
      <c r="B231">
        <v>2062.5</v>
      </c>
      <c r="C231">
        <v>2062.5</v>
      </c>
      <c r="D231">
        <v>2042.56</v>
      </c>
      <c r="E231">
        <v>2045.17</v>
      </c>
      <c r="F231">
        <v>666163177</v>
      </c>
    </row>
    <row r="232" spans="1:6" ht="13" x14ac:dyDescent="0.15">
      <c r="A232" s="3">
        <v>42466</v>
      </c>
      <c r="B232">
        <v>2045.56</v>
      </c>
      <c r="C232">
        <v>2067.33</v>
      </c>
      <c r="D232">
        <v>2043.09</v>
      </c>
      <c r="E232">
        <v>2066.66</v>
      </c>
      <c r="F232">
        <v>581198920</v>
      </c>
    </row>
    <row r="233" spans="1:6" ht="13" x14ac:dyDescent="0.15">
      <c r="A233" s="3">
        <v>42467</v>
      </c>
      <c r="B233">
        <v>2063.0100000000002</v>
      </c>
      <c r="C233">
        <v>2063.0100000000002</v>
      </c>
      <c r="D233">
        <v>2033.8</v>
      </c>
      <c r="E233">
        <v>2041.91</v>
      </c>
      <c r="F233">
        <v>618277738</v>
      </c>
    </row>
    <row r="234" spans="1:6" ht="13" x14ac:dyDescent="0.15">
      <c r="A234" s="3">
        <v>42468</v>
      </c>
      <c r="B234">
        <v>2045.54</v>
      </c>
      <c r="C234">
        <v>2060.63</v>
      </c>
      <c r="D234">
        <v>2041.69</v>
      </c>
      <c r="E234">
        <v>2047.6</v>
      </c>
      <c r="F234">
        <v>534860062</v>
      </c>
    </row>
    <row r="235" spans="1:6" ht="13" x14ac:dyDescent="0.15">
      <c r="A235" s="3">
        <v>42471</v>
      </c>
      <c r="B235">
        <v>2050.23</v>
      </c>
      <c r="C235">
        <v>2062.9299999999998</v>
      </c>
      <c r="D235">
        <v>2041.88</v>
      </c>
      <c r="E235">
        <v>2041.99</v>
      </c>
      <c r="F235">
        <v>586554903</v>
      </c>
    </row>
    <row r="236" spans="1:6" ht="13" x14ac:dyDescent="0.15">
      <c r="A236" s="3">
        <v>42472</v>
      </c>
      <c r="B236">
        <v>2043.72</v>
      </c>
      <c r="C236">
        <v>2065.0500000000002</v>
      </c>
      <c r="D236">
        <v>2039.74</v>
      </c>
      <c r="E236">
        <v>2061.7199999999998</v>
      </c>
      <c r="F236">
        <v>590857575</v>
      </c>
    </row>
    <row r="237" spans="1:6" ht="13" x14ac:dyDescent="0.15">
      <c r="A237" s="3">
        <v>42473</v>
      </c>
      <c r="B237">
        <v>2065.92</v>
      </c>
      <c r="C237">
        <v>2083.1799999999998</v>
      </c>
      <c r="D237">
        <v>2065.92</v>
      </c>
      <c r="E237">
        <v>2082.42</v>
      </c>
      <c r="F237">
        <v>630914475</v>
      </c>
    </row>
    <row r="238" spans="1:6" ht="13" x14ac:dyDescent="0.15">
      <c r="A238" s="3">
        <v>42474</v>
      </c>
      <c r="B238">
        <v>2082.89</v>
      </c>
      <c r="C238">
        <v>2087.84</v>
      </c>
      <c r="D238">
        <v>2078.13</v>
      </c>
      <c r="E238">
        <v>2082.7800000000002</v>
      </c>
      <c r="F238">
        <v>563108643</v>
      </c>
    </row>
    <row r="239" spans="1:6" ht="13" x14ac:dyDescent="0.15">
      <c r="A239" s="3">
        <v>42475</v>
      </c>
      <c r="B239">
        <v>2083.1</v>
      </c>
      <c r="C239">
        <v>2083.2199999999998</v>
      </c>
      <c r="D239">
        <v>2076.31</v>
      </c>
      <c r="E239">
        <v>2080.73</v>
      </c>
      <c r="F239">
        <v>693554004</v>
      </c>
    </row>
    <row r="240" spans="1:6" ht="13" x14ac:dyDescent="0.15">
      <c r="A240" s="3">
        <v>42478</v>
      </c>
      <c r="B240">
        <v>2078.83</v>
      </c>
      <c r="C240">
        <v>2094.66</v>
      </c>
      <c r="D240">
        <v>2073.65</v>
      </c>
      <c r="E240">
        <v>2094.34</v>
      </c>
      <c r="F240">
        <v>547244884</v>
      </c>
    </row>
    <row r="241" spans="1:6" ht="13" x14ac:dyDescent="0.15">
      <c r="A241" s="3">
        <v>42479</v>
      </c>
      <c r="B241">
        <v>2096.0500000000002</v>
      </c>
      <c r="C241">
        <v>2104.0500000000002</v>
      </c>
      <c r="D241">
        <v>2091.6799999999998</v>
      </c>
      <c r="E241">
        <v>2100.8000000000002</v>
      </c>
      <c r="F241">
        <v>590323888</v>
      </c>
    </row>
    <row r="242" spans="1:6" ht="13" x14ac:dyDescent="0.15">
      <c r="A242" s="3">
        <v>42480</v>
      </c>
      <c r="B242">
        <v>2101.52</v>
      </c>
      <c r="C242">
        <v>2111.0500000000002</v>
      </c>
      <c r="D242">
        <v>2096.3200000000002</v>
      </c>
      <c r="E242">
        <v>2102.4</v>
      </c>
      <c r="F242">
        <v>604654546</v>
      </c>
    </row>
    <row r="243" spans="1:6" ht="13" x14ac:dyDescent="0.15">
      <c r="A243" s="3">
        <v>42481</v>
      </c>
      <c r="B243">
        <v>2102.09</v>
      </c>
      <c r="C243">
        <v>2103.7800000000002</v>
      </c>
      <c r="D243">
        <v>2088.52</v>
      </c>
      <c r="E243">
        <v>2091.48</v>
      </c>
      <c r="F243">
        <v>651246160</v>
      </c>
    </row>
    <row r="244" spans="1:6" ht="13" x14ac:dyDescent="0.15">
      <c r="A244" s="3">
        <v>42482</v>
      </c>
      <c r="B244">
        <v>2091.4899999999998</v>
      </c>
      <c r="C244">
        <v>2094.3200000000002</v>
      </c>
      <c r="D244">
        <v>2081.1999999999998</v>
      </c>
      <c r="E244">
        <v>2091.58</v>
      </c>
      <c r="F244">
        <v>705983995</v>
      </c>
    </row>
    <row r="245" spans="1:6" ht="13" x14ac:dyDescent="0.15">
      <c r="A245" s="3">
        <v>42485</v>
      </c>
      <c r="B245">
        <v>2089.37</v>
      </c>
      <c r="C245">
        <v>2089.37</v>
      </c>
      <c r="D245">
        <v>2077.52</v>
      </c>
      <c r="E245">
        <v>2087.79</v>
      </c>
      <c r="F245">
        <v>544779102</v>
      </c>
    </row>
    <row r="246" spans="1:6" ht="13" x14ac:dyDescent="0.15">
      <c r="A246" s="3">
        <v>42486</v>
      </c>
      <c r="B246">
        <v>2089.84</v>
      </c>
      <c r="C246">
        <v>2096.87</v>
      </c>
      <c r="D246">
        <v>2085.8000000000002</v>
      </c>
      <c r="E246">
        <v>2091.6999999999998</v>
      </c>
      <c r="F246">
        <v>598555074</v>
      </c>
    </row>
    <row r="247" spans="1:6" ht="13" x14ac:dyDescent="0.15">
      <c r="A247" s="3">
        <v>42487</v>
      </c>
      <c r="B247">
        <v>2092.33</v>
      </c>
      <c r="C247">
        <v>2099.89</v>
      </c>
      <c r="D247">
        <v>2082.31</v>
      </c>
      <c r="E247">
        <v>2095.15</v>
      </c>
      <c r="F247">
        <v>672757652</v>
      </c>
    </row>
    <row r="248" spans="1:6" ht="13" x14ac:dyDescent="0.15">
      <c r="A248" s="3">
        <v>42488</v>
      </c>
      <c r="B248">
        <v>2090.9299999999998</v>
      </c>
      <c r="C248">
        <v>2099.3000000000002</v>
      </c>
      <c r="D248">
        <v>2071.62</v>
      </c>
      <c r="E248">
        <v>2075.81</v>
      </c>
      <c r="F248">
        <v>689220607</v>
      </c>
    </row>
    <row r="249" spans="1:6" ht="13" x14ac:dyDescent="0.15">
      <c r="A249" s="3">
        <v>42489</v>
      </c>
      <c r="B249">
        <v>2071.8200000000002</v>
      </c>
      <c r="C249">
        <v>2073.85</v>
      </c>
      <c r="D249">
        <v>2052.2800000000002</v>
      </c>
      <c r="E249">
        <v>2065.3000000000002</v>
      </c>
      <c r="F249">
        <v>887327440</v>
      </c>
    </row>
    <row r="250" spans="1:6" ht="13" x14ac:dyDescent="0.15">
      <c r="A250" s="3">
        <v>42492</v>
      </c>
      <c r="B250">
        <v>2067.17</v>
      </c>
      <c r="C250">
        <v>2083.42</v>
      </c>
      <c r="D250">
        <v>2066.11</v>
      </c>
      <c r="E250">
        <v>2081.4299999999998</v>
      </c>
      <c r="F250">
        <v>604121364</v>
      </c>
    </row>
    <row r="251" spans="1:6" ht="13" x14ac:dyDescent="0.15">
      <c r="A251" s="3">
        <v>42493</v>
      </c>
      <c r="B251">
        <v>2077.1799999999998</v>
      </c>
      <c r="C251">
        <v>2077.1799999999998</v>
      </c>
      <c r="D251">
        <v>2054.89</v>
      </c>
      <c r="E251">
        <v>2063.37</v>
      </c>
      <c r="F251">
        <v>635557393</v>
      </c>
    </row>
    <row r="252" spans="1:6" ht="13" x14ac:dyDescent="0.15">
      <c r="A252" s="3">
        <v>42494</v>
      </c>
      <c r="B252">
        <v>2060.3000000000002</v>
      </c>
      <c r="C252">
        <v>2060.3000000000002</v>
      </c>
      <c r="D252">
        <v>2045.55</v>
      </c>
      <c r="E252">
        <v>2051.12</v>
      </c>
      <c r="F252">
        <v>626804080</v>
      </c>
    </row>
    <row r="253" spans="1:6" ht="13" x14ac:dyDescent="0.15">
      <c r="A253" s="3">
        <v>42495</v>
      </c>
      <c r="B253">
        <v>2052.9499999999998</v>
      </c>
      <c r="C253">
        <v>2060.23</v>
      </c>
      <c r="D253">
        <v>2045.77</v>
      </c>
      <c r="E253">
        <v>2050.63</v>
      </c>
      <c r="F253">
        <v>596257671</v>
      </c>
    </row>
    <row r="254" spans="1:6" ht="13" x14ac:dyDescent="0.15">
      <c r="A254" s="3">
        <v>42496</v>
      </c>
      <c r="B254">
        <v>2047.77</v>
      </c>
      <c r="C254">
        <v>2057.7199999999998</v>
      </c>
      <c r="D254">
        <v>2039.45</v>
      </c>
      <c r="E254">
        <v>2057.14</v>
      </c>
      <c r="F254">
        <v>588441649</v>
      </c>
    </row>
    <row r="255" spans="1:6" ht="13" x14ac:dyDescent="0.15">
      <c r="A255" s="3">
        <v>42499</v>
      </c>
      <c r="B255">
        <v>2057.5500000000002</v>
      </c>
      <c r="C255">
        <v>2064.15</v>
      </c>
      <c r="D255">
        <v>2054.31</v>
      </c>
      <c r="E255">
        <v>2058.69</v>
      </c>
      <c r="F255">
        <v>557448620</v>
      </c>
    </row>
    <row r="256" spans="1:6" ht="13" x14ac:dyDescent="0.15">
      <c r="A256" s="3">
        <v>42500</v>
      </c>
      <c r="B256">
        <v>2062.63</v>
      </c>
      <c r="C256">
        <v>2084.87</v>
      </c>
      <c r="D256">
        <v>2062.63</v>
      </c>
      <c r="E256">
        <v>2084.39</v>
      </c>
      <c r="F256">
        <v>520435759</v>
      </c>
    </row>
    <row r="257" spans="1:6" ht="13" x14ac:dyDescent="0.15">
      <c r="A257" s="3">
        <v>42501</v>
      </c>
      <c r="B257">
        <v>2083.29</v>
      </c>
      <c r="C257">
        <v>2083.29</v>
      </c>
      <c r="D257">
        <v>2064.46</v>
      </c>
      <c r="E257">
        <v>2064.46</v>
      </c>
      <c r="F257">
        <v>580139895</v>
      </c>
    </row>
    <row r="258" spans="1:6" ht="13" x14ac:dyDescent="0.15">
      <c r="A258" s="3">
        <v>42502</v>
      </c>
      <c r="B258">
        <v>2067.17</v>
      </c>
      <c r="C258">
        <v>2073.9899999999998</v>
      </c>
      <c r="D258">
        <v>2053.13</v>
      </c>
      <c r="E258">
        <v>2064.11</v>
      </c>
      <c r="F258">
        <v>588564913</v>
      </c>
    </row>
    <row r="259" spans="1:6" ht="13" x14ac:dyDescent="0.15">
      <c r="A259" s="3">
        <v>42503</v>
      </c>
      <c r="B259">
        <v>2062.5</v>
      </c>
      <c r="C259">
        <v>2066.79</v>
      </c>
      <c r="D259">
        <v>2043.13</v>
      </c>
      <c r="E259">
        <v>2046.61</v>
      </c>
      <c r="F259">
        <v>567482287</v>
      </c>
    </row>
    <row r="260" spans="1:6" ht="13" x14ac:dyDescent="0.15">
      <c r="A260" s="3">
        <v>42506</v>
      </c>
      <c r="B260">
        <v>2046.53</v>
      </c>
      <c r="C260">
        <v>2071.88</v>
      </c>
      <c r="D260">
        <v>2046.53</v>
      </c>
      <c r="E260">
        <v>2066.66</v>
      </c>
      <c r="F260">
        <v>567330467</v>
      </c>
    </row>
    <row r="261" spans="1:6" ht="13" x14ac:dyDescent="0.15">
      <c r="A261" s="3">
        <v>42507</v>
      </c>
      <c r="B261">
        <v>2065.04</v>
      </c>
      <c r="C261">
        <v>2065.69</v>
      </c>
      <c r="D261">
        <v>2040.82</v>
      </c>
      <c r="E261">
        <v>2047.21</v>
      </c>
      <c r="F261">
        <v>686681048</v>
      </c>
    </row>
    <row r="262" spans="1:6" ht="13" x14ac:dyDescent="0.15">
      <c r="A262" s="3">
        <v>42508</v>
      </c>
      <c r="B262">
        <v>2044.38</v>
      </c>
      <c r="C262">
        <v>2060.61</v>
      </c>
      <c r="D262">
        <v>2034.49</v>
      </c>
      <c r="E262">
        <v>2047.63</v>
      </c>
      <c r="F262">
        <v>558156815</v>
      </c>
    </row>
    <row r="263" spans="1:6" ht="13" x14ac:dyDescent="0.15">
      <c r="A263" s="3">
        <v>42509</v>
      </c>
      <c r="B263">
        <v>2044.21</v>
      </c>
      <c r="C263">
        <v>2044.21</v>
      </c>
      <c r="D263">
        <v>2025.91</v>
      </c>
      <c r="E263">
        <v>2040.04</v>
      </c>
      <c r="F263">
        <v>589913028</v>
      </c>
    </row>
    <row r="264" spans="1:6" ht="13" x14ac:dyDescent="0.15">
      <c r="A264" s="3">
        <v>42510</v>
      </c>
      <c r="B264">
        <v>2041.88</v>
      </c>
      <c r="C264">
        <v>2058.35</v>
      </c>
      <c r="D264">
        <v>2041.88</v>
      </c>
      <c r="E264">
        <v>2052.3200000000002</v>
      </c>
      <c r="F264">
        <v>697842193</v>
      </c>
    </row>
    <row r="265" spans="1:6" ht="13" x14ac:dyDescent="0.15">
      <c r="A265" s="3">
        <v>42513</v>
      </c>
      <c r="B265">
        <v>2052.23</v>
      </c>
      <c r="C265">
        <v>2055.58</v>
      </c>
      <c r="D265">
        <v>2047.26</v>
      </c>
      <c r="E265">
        <v>2048.04</v>
      </c>
      <c r="F265">
        <v>524841588</v>
      </c>
    </row>
    <row r="266" spans="1:6" ht="13" x14ac:dyDescent="0.15">
      <c r="A266" s="3">
        <v>42514</v>
      </c>
      <c r="B266">
        <v>2052.65</v>
      </c>
      <c r="C266">
        <v>2079.67</v>
      </c>
      <c r="D266">
        <v>2052.65</v>
      </c>
      <c r="E266">
        <v>2076.06</v>
      </c>
      <c r="F266">
        <v>557588563</v>
      </c>
    </row>
    <row r="267" spans="1:6" ht="13" x14ac:dyDescent="0.15">
      <c r="A267" s="3">
        <v>42515</v>
      </c>
      <c r="B267">
        <v>2078.9299999999998</v>
      </c>
      <c r="C267">
        <v>2094.73</v>
      </c>
      <c r="D267">
        <v>2078.9299999999998</v>
      </c>
      <c r="E267">
        <v>2090.54</v>
      </c>
      <c r="F267">
        <v>561669919</v>
      </c>
    </row>
    <row r="268" spans="1:6" ht="13" x14ac:dyDescent="0.15">
      <c r="A268" s="3">
        <v>42516</v>
      </c>
      <c r="B268">
        <v>2091.44</v>
      </c>
      <c r="C268">
        <v>2094.3000000000002</v>
      </c>
      <c r="D268">
        <v>2087.08</v>
      </c>
      <c r="E268">
        <v>2090.1</v>
      </c>
      <c r="F268">
        <v>474138505</v>
      </c>
    </row>
    <row r="269" spans="1:6" ht="13" x14ac:dyDescent="0.15">
      <c r="A269" s="3">
        <v>42517</v>
      </c>
      <c r="B269">
        <v>2090.06</v>
      </c>
      <c r="C269">
        <v>2099.06</v>
      </c>
      <c r="D269">
        <v>2090.06</v>
      </c>
      <c r="E269">
        <v>2099.06</v>
      </c>
      <c r="F269">
        <v>508493212</v>
      </c>
    </row>
    <row r="270" spans="1:6" ht="13" x14ac:dyDescent="0.15">
      <c r="A270" s="3">
        <v>42521</v>
      </c>
      <c r="B270">
        <v>2100.13</v>
      </c>
      <c r="C270">
        <v>2103.48</v>
      </c>
      <c r="D270">
        <v>2088.66</v>
      </c>
      <c r="E270">
        <v>2096.96</v>
      </c>
      <c r="F270">
        <v>904459880</v>
      </c>
    </row>
    <row r="271" spans="1:6" ht="13" x14ac:dyDescent="0.15">
      <c r="A271" s="3">
        <v>42522</v>
      </c>
      <c r="B271">
        <v>2093.94</v>
      </c>
      <c r="C271">
        <v>2100.9699999999998</v>
      </c>
      <c r="D271">
        <v>2085.1</v>
      </c>
      <c r="E271">
        <v>2099.33</v>
      </c>
      <c r="F271">
        <v>556851611</v>
      </c>
    </row>
    <row r="272" spans="1:6" ht="13" x14ac:dyDescent="0.15">
      <c r="A272" s="3">
        <v>42523</v>
      </c>
      <c r="B272">
        <v>2097.71</v>
      </c>
      <c r="C272">
        <v>2105.2600000000002</v>
      </c>
      <c r="D272">
        <v>2088.59</v>
      </c>
      <c r="E272">
        <v>2105.2600000000002</v>
      </c>
      <c r="F272">
        <v>628062808</v>
      </c>
    </row>
    <row r="273" spans="1:6" ht="13" x14ac:dyDescent="0.15">
      <c r="A273" s="3">
        <v>42524</v>
      </c>
      <c r="B273">
        <v>2104.0700000000002</v>
      </c>
      <c r="C273">
        <v>2104.0700000000002</v>
      </c>
      <c r="D273">
        <v>2085.36</v>
      </c>
      <c r="E273">
        <v>2099.13</v>
      </c>
      <c r="F273">
        <v>568033907</v>
      </c>
    </row>
    <row r="274" spans="1:6" ht="13" x14ac:dyDescent="0.15">
      <c r="A274" s="3">
        <v>42527</v>
      </c>
      <c r="B274">
        <v>2100.83</v>
      </c>
      <c r="C274">
        <v>2113.36</v>
      </c>
      <c r="D274">
        <v>2100.83</v>
      </c>
      <c r="E274">
        <v>2109.41</v>
      </c>
      <c r="F274">
        <v>532939655</v>
      </c>
    </row>
    <row r="275" spans="1:6" ht="13" x14ac:dyDescent="0.15">
      <c r="A275" s="3">
        <v>42528</v>
      </c>
      <c r="B275">
        <v>2110.1799999999998</v>
      </c>
      <c r="C275">
        <v>2119.2199999999998</v>
      </c>
      <c r="D275">
        <v>2110.1799999999998</v>
      </c>
      <c r="E275">
        <v>2112.13</v>
      </c>
      <c r="F275">
        <v>536131780</v>
      </c>
    </row>
    <row r="276" spans="1:6" ht="13" x14ac:dyDescent="0.15">
      <c r="A276" s="3">
        <v>42529</v>
      </c>
      <c r="B276">
        <v>2112.71</v>
      </c>
      <c r="C276">
        <v>2120.5500000000002</v>
      </c>
      <c r="D276">
        <v>2112.71</v>
      </c>
      <c r="E276">
        <v>2119.12</v>
      </c>
      <c r="F276">
        <v>496867839</v>
      </c>
    </row>
    <row r="277" spans="1:6" ht="13" x14ac:dyDescent="0.15">
      <c r="A277" s="3">
        <v>42530</v>
      </c>
      <c r="B277">
        <v>2115.65</v>
      </c>
      <c r="C277">
        <v>2117.64</v>
      </c>
      <c r="D277">
        <v>2107.73</v>
      </c>
      <c r="E277">
        <v>2115.48</v>
      </c>
      <c r="F277">
        <v>482637627</v>
      </c>
    </row>
    <row r="278" spans="1:6" ht="13" x14ac:dyDescent="0.15">
      <c r="A278" s="3">
        <v>42531</v>
      </c>
      <c r="B278">
        <v>2109.5700000000002</v>
      </c>
      <c r="C278">
        <v>2109.5700000000002</v>
      </c>
      <c r="D278">
        <v>2089.96</v>
      </c>
      <c r="E278">
        <v>2096.0700000000002</v>
      </c>
      <c r="F278">
        <v>552199108</v>
      </c>
    </row>
    <row r="279" spans="1:6" ht="13" x14ac:dyDescent="0.15">
      <c r="A279" s="3">
        <v>42534</v>
      </c>
      <c r="B279">
        <v>2091.75</v>
      </c>
      <c r="C279">
        <v>2098.12</v>
      </c>
      <c r="D279">
        <v>2078.46</v>
      </c>
      <c r="E279">
        <v>2079.06</v>
      </c>
      <c r="F279">
        <v>564040789</v>
      </c>
    </row>
    <row r="280" spans="1:6" ht="13" x14ac:dyDescent="0.15">
      <c r="A280" s="3">
        <v>42535</v>
      </c>
      <c r="B280">
        <v>2076.65</v>
      </c>
      <c r="C280">
        <v>2081.3000000000002</v>
      </c>
      <c r="D280">
        <v>2064.1</v>
      </c>
      <c r="E280">
        <v>2075.3200000000002</v>
      </c>
      <c r="F280">
        <v>576788895</v>
      </c>
    </row>
    <row r="281" spans="1:6" ht="13" x14ac:dyDescent="0.15">
      <c r="A281" s="3">
        <v>42536</v>
      </c>
      <c r="B281">
        <v>2077.6</v>
      </c>
      <c r="C281">
        <v>2085.65</v>
      </c>
      <c r="D281">
        <v>2069.8000000000002</v>
      </c>
      <c r="E281">
        <v>2071.5</v>
      </c>
      <c r="F281">
        <v>575938354</v>
      </c>
    </row>
    <row r="282" spans="1:6" ht="13" x14ac:dyDescent="0.15">
      <c r="A282" s="3">
        <v>42537</v>
      </c>
      <c r="B282">
        <v>2066.36</v>
      </c>
      <c r="C282">
        <v>2079.62</v>
      </c>
      <c r="D282">
        <v>2050.37</v>
      </c>
      <c r="E282">
        <v>2077.9899999999998</v>
      </c>
      <c r="F282">
        <v>552019076</v>
      </c>
    </row>
    <row r="283" spans="1:6" ht="13" x14ac:dyDescent="0.15">
      <c r="A283" s="3">
        <v>42538</v>
      </c>
      <c r="B283">
        <v>2078.1999999999998</v>
      </c>
      <c r="C283">
        <v>2078.1999999999998</v>
      </c>
      <c r="D283">
        <v>2062.84</v>
      </c>
      <c r="E283">
        <v>2071.2199999999998</v>
      </c>
      <c r="F283">
        <v>227609273</v>
      </c>
    </row>
    <row r="284" spans="1:6" ht="13" x14ac:dyDescent="0.15">
      <c r="A284" s="3">
        <v>42541</v>
      </c>
      <c r="B284">
        <v>2075.58</v>
      </c>
      <c r="C284">
        <v>2100.66</v>
      </c>
      <c r="D284">
        <v>2075.58</v>
      </c>
      <c r="E284">
        <v>2083.25</v>
      </c>
      <c r="F284">
        <v>598150842</v>
      </c>
    </row>
    <row r="285" spans="1:6" ht="13" x14ac:dyDescent="0.15">
      <c r="A285" s="3">
        <v>42542</v>
      </c>
      <c r="B285">
        <v>2085.19</v>
      </c>
      <c r="C285">
        <v>2093.66</v>
      </c>
      <c r="D285">
        <v>2083.02</v>
      </c>
      <c r="E285">
        <v>2088.9</v>
      </c>
      <c r="F285">
        <v>537088649</v>
      </c>
    </row>
    <row r="286" spans="1:6" ht="13" x14ac:dyDescent="0.15">
      <c r="A286" s="3">
        <v>42543</v>
      </c>
      <c r="B286">
        <v>2089.75</v>
      </c>
      <c r="C286">
        <v>2099.71</v>
      </c>
      <c r="D286">
        <v>2084.36</v>
      </c>
      <c r="E286">
        <v>2085.4499999999998</v>
      </c>
      <c r="F286">
        <v>519438852</v>
      </c>
    </row>
    <row r="287" spans="1:6" ht="13" x14ac:dyDescent="0.15">
      <c r="A287" s="3">
        <v>42544</v>
      </c>
      <c r="B287">
        <v>2092.8000000000002</v>
      </c>
      <c r="C287">
        <v>2113.3200000000002</v>
      </c>
      <c r="D287">
        <v>2092.8000000000002</v>
      </c>
      <c r="E287">
        <v>2113.3200000000002</v>
      </c>
      <c r="F287">
        <v>525308203</v>
      </c>
    </row>
    <row r="288" spans="1:6" ht="13" x14ac:dyDescent="0.15">
      <c r="A288" s="3">
        <v>42545</v>
      </c>
      <c r="B288">
        <v>2103.81</v>
      </c>
      <c r="C288">
        <v>2103.81</v>
      </c>
      <c r="D288">
        <v>2032.57</v>
      </c>
      <c r="E288">
        <v>2037.41</v>
      </c>
      <c r="F288">
        <v>330155996</v>
      </c>
    </row>
    <row r="289" spans="1:6" ht="13" x14ac:dyDescent="0.15">
      <c r="A289" s="3">
        <v>42548</v>
      </c>
      <c r="B289">
        <v>2031.45</v>
      </c>
      <c r="C289">
        <v>2031.45</v>
      </c>
      <c r="D289">
        <v>1991.68</v>
      </c>
      <c r="E289">
        <v>2000.54</v>
      </c>
      <c r="F289">
        <v>882683687</v>
      </c>
    </row>
    <row r="290" spans="1:6" ht="13" x14ac:dyDescent="0.15">
      <c r="A290" s="3">
        <v>42549</v>
      </c>
      <c r="B290">
        <v>2006.67</v>
      </c>
      <c r="C290">
        <v>2036.09</v>
      </c>
      <c r="D290">
        <v>2006.67</v>
      </c>
      <c r="E290">
        <v>2036.09</v>
      </c>
      <c r="F290">
        <v>718967504</v>
      </c>
    </row>
    <row r="291" spans="1:6" ht="13" x14ac:dyDescent="0.15">
      <c r="A291" s="3">
        <v>42550</v>
      </c>
      <c r="B291">
        <v>2042.69</v>
      </c>
      <c r="C291">
        <v>2073.13</v>
      </c>
      <c r="D291">
        <v>2042.69</v>
      </c>
      <c r="E291">
        <v>2070.77</v>
      </c>
      <c r="F291">
        <v>691858050</v>
      </c>
    </row>
    <row r="292" spans="1:6" ht="13" x14ac:dyDescent="0.15">
      <c r="A292" s="3">
        <v>42551</v>
      </c>
      <c r="B292">
        <v>2073.17</v>
      </c>
      <c r="C292">
        <v>2098.94</v>
      </c>
      <c r="D292">
        <v>2070</v>
      </c>
      <c r="E292">
        <v>2098.86</v>
      </c>
      <c r="F292">
        <v>892556858</v>
      </c>
    </row>
    <row r="293" spans="1:6" ht="13" x14ac:dyDescent="0.15">
      <c r="A293" s="3">
        <v>42552</v>
      </c>
      <c r="B293">
        <v>2099.34</v>
      </c>
      <c r="C293">
        <v>2108.71</v>
      </c>
      <c r="D293">
        <v>2097.9</v>
      </c>
      <c r="E293">
        <v>2102.9499999999998</v>
      </c>
      <c r="F293">
        <v>551736343</v>
      </c>
    </row>
    <row r="294" spans="1:6" ht="13" x14ac:dyDescent="0.15">
      <c r="A294" s="3">
        <v>42556</v>
      </c>
      <c r="B294">
        <v>2095.0500000000002</v>
      </c>
      <c r="C294">
        <v>2095.0500000000002</v>
      </c>
      <c r="D294">
        <v>2080.86</v>
      </c>
      <c r="E294">
        <v>2088.5500000000002</v>
      </c>
      <c r="F294">
        <v>650706103</v>
      </c>
    </row>
    <row r="295" spans="1:6" ht="13" x14ac:dyDescent="0.15">
      <c r="A295" s="3">
        <v>42557</v>
      </c>
      <c r="B295">
        <v>2084.4299999999998</v>
      </c>
      <c r="C295">
        <v>2100.7199999999998</v>
      </c>
      <c r="D295">
        <v>2074.02</v>
      </c>
      <c r="E295">
        <v>2099.73</v>
      </c>
      <c r="F295">
        <v>649649070</v>
      </c>
    </row>
    <row r="296" spans="1:6" ht="13" x14ac:dyDescent="0.15">
      <c r="A296" s="3">
        <v>42558</v>
      </c>
      <c r="B296">
        <v>2100.42</v>
      </c>
      <c r="C296">
        <v>2109.08</v>
      </c>
      <c r="D296">
        <v>2089.39</v>
      </c>
      <c r="E296">
        <v>2097.9</v>
      </c>
      <c r="F296">
        <v>546432231</v>
      </c>
    </row>
    <row r="297" spans="1:6" ht="13" x14ac:dyDescent="0.15">
      <c r="A297" s="3">
        <v>42559</v>
      </c>
      <c r="B297">
        <v>2106.9699999999998</v>
      </c>
      <c r="C297">
        <v>2131.71</v>
      </c>
      <c r="D297">
        <v>2106.9699999999998</v>
      </c>
      <c r="E297">
        <v>2129.9</v>
      </c>
      <c r="F297">
        <v>597242128</v>
      </c>
    </row>
    <row r="298" spans="1:6" ht="13" x14ac:dyDescent="0.15">
      <c r="A298" s="3">
        <v>42562</v>
      </c>
      <c r="B298">
        <v>2131.7199999999998</v>
      </c>
      <c r="C298">
        <v>2143.16</v>
      </c>
      <c r="D298">
        <v>2131.7199999999998</v>
      </c>
      <c r="E298">
        <v>2137.16</v>
      </c>
      <c r="F298">
        <v>514370297</v>
      </c>
    </row>
    <row r="299" spans="1:6" ht="13" x14ac:dyDescent="0.15">
      <c r="A299" s="3">
        <v>42563</v>
      </c>
      <c r="B299">
        <v>2139.5</v>
      </c>
      <c r="C299">
        <v>2155.4</v>
      </c>
      <c r="D299">
        <v>2139.5</v>
      </c>
      <c r="E299">
        <v>2152.14</v>
      </c>
      <c r="F299">
        <v>599252738</v>
      </c>
    </row>
    <row r="300" spans="1:6" ht="13" x14ac:dyDescent="0.15">
      <c r="A300" s="3">
        <v>42564</v>
      </c>
      <c r="B300">
        <v>2153.81</v>
      </c>
      <c r="C300">
        <v>2156.4499999999998</v>
      </c>
      <c r="D300">
        <v>2146.21</v>
      </c>
      <c r="E300">
        <v>2152.4299999999998</v>
      </c>
      <c r="F300">
        <v>514541411</v>
      </c>
    </row>
    <row r="301" spans="1:6" ht="13" x14ac:dyDescent="0.15">
      <c r="A301" s="3">
        <v>42565</v>
      </c>
      <c r="B301">
        <v>2157.88</v>
      </c>
      <c r="C301">
        <v>2168.9899999999998</v>
      </c>
      <c r="D301">
        <v>2157.88</v>
      </c>
      <c r="E301">
        <v>2163.75</v>
      </c>
      <c r="F301">
        <v>530310298</v>
      </c>
    </row>
    <row r="302" spans="1:6" ht="13" x14ac:dyDescent="0.15">
      <c r="A302" s="3">
        <v>42566</v>
      </c>
      <c r="B302">
        <v>2165.13</v>
      </c>
      <c r="C302">
        <v>2169.0500000000002</v>
      </c>
      <c r="D302">
        <v>2155.79</v>
      </c>
      <c r="E302">
        <v>2161.7399999999998</v>
      </c>
      <c r="F302">
        <v>643101106</v>
      </c>
    </row>
    <row r="303" spans="1:6" ht="13" x14ac:dyDescent="0.15">
      <c r="A303" s="3">
        <v>42569</v>
      </c>
      <c r="B303">
        <v>2162.04</v>
      </c>
      <c r="C303">
        <v>2168.35</v>
      </c>
      <c r="D303">
        <v>2159.63</v>
      </c>
      <c r="E303">
        <v>2166.89</v>
      </c>
      <c r="F303">
        <v>478404253</v>
      </c>
    </row>
    <row r="304" spans="1:6" ht="13" x14ac:dyDescent="0.15">
      <c r="A304" s="3">
        <v>42570</v>
      </c>
      <c r="B304">
        <v>2163.79</v>
      </c>
      <c r="C304">
        <v>2164.63</v>
      </c>
      <c r="D304">
        <v>2159.0100000000002</v>
      </c>
      <c r="E304">
        <v>2163.7800000000002</v>
      </c>
      <c r="F304">
        <v>516605607</v>
      </c>
    </row>
    <row r="305" spans="1:6" ht="13" x14ac:dyDescent="0.15">
      <c r="A305" s="3">
        <v>42571</v>
      </c>
      <c r="B305">
        <v>2166.1</v>
      </c>
      <c r="C305">
        <v>2175.63</v>
      </c>
      <c r="D305">
        <v>2164.89</v>
      </c>
      <c r="E305">
        <v>2173.02</v>
      </c>
      <c r="F305">
        <v>500205767</v>
      </c>
    </row>
    <row r="306" spans="1:6" ht="13" x14ac:dyDescent="0.15">
      <c r="A306" s="3">
        <v>42572</v>
      </c>
      <c r="B306">
        <v>2172.91</v>
      </c>
      <c r="C306">
        <v>2174.56</v>
      </c>
      <c r="D306">
        <v>2159.75</v>
      </c>
      <c r="E306">
        <v>2165.17</v>
      </c>
      <c r="F306">
        <v>559292869</v>
      </c>
    </row>
    <row r="307" spans="1:6" ht="13" x14ac:dyDescent="0.15">
      <c r="A307" s="3">
        <v>42573</v>
      </c>
      <c r="B307">
        <v>2166.4699999999998</v>
      </c>
      <c r="C307">
        <v>2175.11</v>
      </c>
      <c r="D307">
        <v>2163.2399999999998</v>
      </c>
      <c r="E307">
        <v>2175.0300000000002</v>
      </c>
      <c r="F307">
        <v>525935607</v>
      </c>
    </row>
    <row r="308" spans="1:6" ht="13" x14ac:dyDescent="0.15">
      <c r="A308" s="3">
        <v>42576</v>
      </c>
      <c r="B308">
        <v>2173.71</v>
      </c>
      <c r="C308">
        <v>2173.71</v>
      </c>
      <c r="D308">
        <v>2161.9499999999998</v>
      </c>
      <c r="E308">
        <v>2168.48</v>
      </c>
      <c r="F308">
        <v>511374042</v>
      </c>
    </row>
    <row r="309" spans="1:6" ht="13" x14ac:dyDescent="0.15">
      <c r="A309" s="3">
        <v>42577</v>
      </c>
      <c r="B309">
        <v>2168.9699999999998</v>
      </c>
      <c r="C309">
        <v>2173.54</v>
      </c>
      <c r="D309">
        <v>2160.1799999999998</v>
      </c>
      <c r="E309">
        <v>2169.1799999999998</v>
      </c>
      <c r="F309">
        <v>537572545</v>
      </c>
    </row>
    <row r="310" spans="1:6" ht="13" x14ac:dyDescent="0.15">
      <c r="A310" s="3">
        <v>42578</v>
      </c>
      <c r="B310">
        <v>2169.81</v>
      </c>
      <c r="C310">
        <v>2174.98</v>
      </c>
      <c r="D310">
        <v>2159.0700000000002</v>
      </c>
      <c r="E310">
        <v>2166.58</v>
      </c>
      <c r="F310">
        <v>661630367</v>
      </c>
    </row>
    <row r="311" spans="1:6" ht="13" x14ac:dyDescent="0.15">
      <c r="A311" s="3">
        <v>42579</v>
      </c>
      <c r="B311">
        <v>2166.0500000000002</v>
      </c>
      <c r="C311">
        <v>2172.85</v>
      </c>
      <c r="D311">
        <v>2159.7399999999998</v>
      </c>
      <c r="E311">
        <v>2170.06</v>
      </c>
      <c r="F311">
        <v>564543919</v>
      </c>
    </row>
    <row r="312" spans="1:6" ht="13" x14ac:dyDescent="0.15">
      <c r="A312" s="3">
        <v>42580</v>
      </c>
      <c r="B312">
        <v>2168.83</v>
      </c>
      <c r="C312">
        <v>2177.09</v>
      </c>
      <c r="D312">
        <v>2163.4899999999998</v>
      </c>
      <c r="E312">
        <v>2173.6</v>
      </c>
      <c r="F312">
        <v>787086996</v>
      </c>
    </row>
    <row r="313" spans="1:6" ht="13" x14ac:dyDescent="0.15">
      <c r="A313" s="3">
        <v>42583</v>
      </c>
      <c r="B313">
        <v>2173.15</v>
      </c>
      <c r="C313">
        <v>2178.29</v>
      </c>
      <c r="D313">
        <v>2166.21</v>
      </c>
      <c r="E313">
        <v>2170.84</v>
      </c>
      <c r="F313">
        <v>543777140</v>
      </c>
    </row>
    <row r="314" spans="1:6" ht="13" x14ac:dyDescent="0.15">
      <c r="A314" s="3">
        <v>42584</v>
      </c>
      <c r="B314">
        <v>2169.94</v>
      </c>
      <c r="C314">
        <v>2170.1999999999998</v>
      </c>
      <c r="D314">
        <v>2147.58</v>
      </c>
      <c r="E314">
        <v>2157.0300000000002</v>
      </c>
      <c r="F314">
        <v>619382235</v>
      </c>
    </row>
    <row r="315" spans="1:6" ht="13" x14ac:dyDescent="0.15">
      <c r="A315" s="3">
        <v>42585</v>
      </c>
      <c r="B315">
        <v>2156.81</v>
      </c>
      <c r="C315">
        <v>2163.79</v>
      </c>
      <c r="D315">
        <v>2152.56</v>
      </c>
      <c r="E315">
        <v>2163.79</v>
      </c>
      <c r="F315">
        <v>542285389</v>
      </c>
    </row>
    <row r="316" spans="1:6" ht="13" x14ac:dyDescent="0.15">
      <c r="A316" s="3">
        <v>42586</v>
      </c>
      <c r="B316">
        <v>2163.5100000000002</v>
      </c>
      <c r="C316">
        <v>2168.19</v>
      </c>
      <c r="D316">
        <v>2159.0700000000002</v>
      </c>
      <c r="E316">
        <v>2164.25</v>
      </c>
      <c r="F316">
        <v>492388664</v>
      </c>
    </row>
    <row r="317" spans="1:6" ht="13" x14ac:dyDescent="0.15">
      <c r="A317" s="3">
        <v>42587</v>
      </c>
      <c r="B317">
        <v>2168.79</v>
      </c>
      <c r="C317">
        <v>2182.87</v>
      </c>
      <c r="D317">
        <v>2168.79</v>
      </c>
      <c r="E317">
        <v>2182.87</v>
      </c>
      <c r="F317">
        <v>569849800</v>
      </c>
    </row>
    <row r="318" spans="1:6" ht="13" x14ac:dyDescent="0.15">
      <c r="A318" s="3">
        <v>42590</v>
      </c>
      <c r="B318">
        <v>2183.7600000000002</v>
      </c>
      <c r="C318">
        <v>2185.44</v>
      </c>
      <c r="D318">
        <v>2177.85</v>
      </c>
      <c r="E318">
        <v>2180.89</v>
      </c>
      <c r="F318">
        <v>486958977</v>
      </c>
    </row>
    <row r="319" spans="1:6" ht="13" x14ac:dyDescent="0.15">
      <c r="A319" s="3">
        <v>42591</v>
      </c>
      <c r="B319">
        <v>2182.2399999999998</v>
      </c>
      <c r="C319">
        <v>2187.66</v>
      </c>
      <c r="D319">
        <v>2178.61</v>
      </c>
      <c r="E319">
        <v>2181.7399999999998</v>
      </c>
      <c r="F319">
        <v>427986401</v>
      </c>
    </row>
    <row r="320" spans="1:6" ht="13" x14ac:dyDescent="0.15">
      <c r="A320" s="3">
        <v>42592</v>
      </c>
      <c r="B320">
        <v>2182.81</v>
      </c>
      <c r="C320">
        <v>2183.41</v>
      </c>
      <c r="D320">
        <v>2172</v>
      </c>
      <c r="E320">
        <v>2175.4899999999998</v>
      </c>
      <c r="F320">
        <v>439573433</v>
      </c>
    </row>
    <row r="321" spans="1:6" ht="13" x14ac:dyDescent="0.15">
      <c r="A321" s="3">
        <v>42593</v>
      </c>
      <c r="B321">
        <v>2177.9699999999998</v>
      </c>
      <c r="C321">
        <v>2188.4499999999998</v>
      </c>
      <c r="D321">
        <v>2177.9699999999998</v>
      </c>
      <c r="E321">
        <v>2185.79</v>
      </c>
      <c r="F321">
        <v>464458711</v>
      </c>
    </row>
    <row r="322" spans="1:6" ht="13" x14ac:dyDescent="0.15">
      <c r="A322" s="3">
        <v>42594</v>
      </c>
      <c r="B322">
        <v>2183.7399999999998</v>
      </c>
      <c r="C322">
        <v>2186.2800000000002</v>
      </c>
      <c r="D322">
        <v>2179.42</v>
      </c>
      <c r="E322">
        <v>2184.0500000000002</v>
      </c>
      <c r="F322">
        <v>432156303</v>
      </c>
    </row>
    <row r="323" spans="1:6" ht="13" x14ac:dyDescent="0.15">
      <c r="A323" s="3">
        <v>42597</v>
      </c>
      <c r="B323">
        <v>2186.08</v>
      </c>
      <c r="C323">
        <v>2193.81</v>
      </c>
      <c r="D323">
        <v>2186.08</v>
      </c>
      <c r="E323">
        <v>2190.15</v>
      </c>
      <c r="F323">
        <v>441305055</v>
      </c>
    </row>
    <row r="324" spans="1:6" ht="13" x14ac:dyDescent="0.15">
      <c r="A324" s="3">
        <v>42598</v>
      </c>
      <c r="B324">
        <v>2186.2399999999998</v>
      </c>
      <c r="C324">
        <v>2186.2399999999998</v>
      </c>
      <c r="D324">
        <v>2178.14</v>
      </c>
      <c r="E324">
        <v>2178.15</v>
      </c>
      <c r="F324">
        <v>484439239</v>
      </c>
    </row>
    <row r="325" spans="1:6" ht="13" x14ac:dyDescent="0.15">
      <c r="A325" s="3">
        <v>42599</v>
      </c>
      <c r="B325">
        <v>2177.84</v>
      </c>
      <c r="C325">
        <v>2183.08</v>
      </c>
      <c r="D325">
        <v>2168.5</v>
      </c>
      <c r="E325">
        <v>2182.2199999999998</v>
      </c>
      <c r="F325">
        <v>499856353</v>
      </c>
    </row>
    <row r="326" spans="1:6" ht="13" x14ac:dyDescent="0.15">
      <c r="A326" s="3">
        <v>42600</v>
      </c>
      <c r="B326">
        <v>2181.9</v>
      </c>
      <c r="C326">
        <v>2187.0300000000002</v>
      </c>
      <c r="D326">
        <v>2180.46</v>
      </c>
      <c r="E326">
        <v>2187.02</v>
      </c>
      <c r="F326">
        <v>510514826</v>
      </c>
    </row>
    <row r="327" spans="1:6" ht="13" x14ac:dyDescent="0.15">
      <c r="A327" s="3">
        <v>42601</v>
      </c>
      <c r="B327">
        <v>2184.2399999999998</v>
      </c>
      <c r="C327">
        <v>2185</v>
      </c>
      <c r="D327">
        <v>2175.13</v>
      </c>
      <c r="E327">
        <v>2183.87</v>
      </c>
      <c r="F327">
        <v>580186480</v>
      </c>
    </row>
    <row r="328" spans="1:6" ht="13" x14ac:dyDescent="0.15">
      <c r="A328" s="3">
        <v>42604</v>
      </c>
      <c r="B328">
        <v>2181.58</v>
      </c>
      <c r="C328">
        <v>2185.15</v>
      </c>
      <c r="D328">
        <v>2175.96</v>
      </c>
      <c r="E328">
        <v>2182.64</v>
      </c>
      <c r="F328">
        <v>463033593</v>
      </c>
    </row>
    <row r="329" spans="1:6" ht="13" x14ac:dyDescent="0.15">
      <c r="A329" s="3">
        <v>42605</v>
      </c>
      <c r="B329">
        <v>2187.81</v>
      </c>
      <c r="C329">
        <v>2193.42</v>
      </c>
      <c r="D329">
        <v>2186.8000000000002</v>
      </c>
      <c r="E329">
        <v>2186.9</v>
      </c>
      <c r="F329">
        <v>466736625</v>
      </c>
    </row>
    <row r="330" spans="1:6" ht="13" x14ac:dyDescent="0.15">
      <c r="A330" s="3">
        <v>42606</v>
      </c>
      <c r="B330">
        <v>2185.09</v>
      </c>
      <c r="C330">
        <v>2186.66</v>
      </c>
      <c r="D330">
        <v>2171.25</v>
      </c>
      <c r="E330">
        <v>2175.44</v>
      </c>
      <c r="F330">
        <v>472264903</v>
      </c>
    </row>
    <row r="331" spans="1:6" ht="13" x14ac:dyDescent="0.15">
      <c r="A331" s="3">
        <v>42607</v>
      </c>
      <c r="B331">
        <v>2173.29</v>
      </c>
      <c r="C331">
        <v>2179</v>
      </c>
      <c r="D331">
        <v>2169.7399999999998</v>
      </c>
      <c r="E331">
        <v>2172.4699999999998</v>
      </c>
      <c r="F331">
        <v>459398340</v>
      </c>
    </row>
    <row r="332" spans="1:6" ht="13" x14ac:dyDescent="0.15">
      <c r="A332" s="3">
        <v>42608</v>
      </c>
      <c r="B332">
        <v>2175.1</v>
      </c>
      <c r="C332">
        <v>2187.94</v>
      </c>
      <c r="D332">
        <v>2160.39</v>
      </c>
      <c r="E332">
        <v>2169.04</v>
      </c>
      <c r="F332">
        <v>494425690</v>
      </c>
    </row>
    <row r="333" spans="1:6" ht="13" x14ac:dyDescent="0.15">
      <c r="A333" s="3">
        <v>42611</v>
      </c>
      <c r="B333">
        <v>2170.19</v>
      </c>
      <c r="C333">
        <v>2183.48</v>
      </c>
      <c r="D333">
        <v>2170.19</v>
      </c>
      <c r="E333">
        <v>2180.38</v>
      </c>
      <c r="F333">
        <v>434407871</v>
      </c>
    </row>
    <row r="334" spans="1:6" ht="13" x14ac:dyDescent="0.15">
      <c r="A334" s="3">
        <v>42612</v>
      </c>
      <c r="B334">
        <v>2179.4499999999998</v>
      </c>
      <c r="C334">
        <v>2182.27</v>
      </c>
      <c r="D334">
        <v>2170.41</v>
      </c>
      <c r="E334">
        <v>2176.12</v>
      </c>
      <c r="F334">
        <v>470170318</v>
      </c>
    </row>
    <row r="335" spans="1:6" ht="13" x14ac:dyDescent="0.15">
      <c r="A335" s="3">
        <v>42613</v>
      </c>
      <c r="B335">
        <v>2173.56</v>
      </c>
      <c r="C335">
        <v>2173.79</v>
      </c>
      <c r="D335">
        <v>2161.35</v>
      </c>
      <c r="E335">
        <v>2170.9499999999998</v>
      </c>
      <c r="F335">
        <v>659162199</v>
      </c>
    </row>
    <row r="336" spans="1:6" ht="13" x14ac:dyDescent="0.15">
      <c r="A336" s="3">
        <v>42614</v>
      </c>
      <c r="B336">
        <v>2171.33</v>
      </c>
      <c r="C336">
        <v>2173.56</v>
      </c>
      <c r="D336">
        <v>2157.09</v>
      </c>
      <c r="E336">
        <v>2170.86</v>
      </c>
      <c r="F336">
        <v>507264056</v>
      </c>
    </row>
    <row r="337" spans="1:6" ht="13" x14ac:dyDescent="0.15">
      <c r="A337" s="3">
        <v>42615</v>
      </c>
      <c r="B337">
        <v>2177.4899999999998</v>
      </c>
      <c r="C337">
        <v>2184.87</v>
      </c>
      <c r="D337">
        <v>2173.59</v>
      </c>
      <c r="E337">
        <v>2179.98</v>
      </c>
      <c r="F337">
        <v>491982133</v>
      </c>
    </row>
    <row r="338" spans="1:6" ht="13" x14ac:dyDescent="0.15">
      <c r="A338" s="3">
        <v>42619</v>
      </c>
      <c r="B338">
        <v>2181.61</v>
      </c>
      <c r="C338">
        <v>2186.5700000000002</v>
      </c>
      <c r="D338">
        <v>2175.1</v>
      </c>
      <c r="E338">
        <v>2186.48</v>
      </c>
      <c r="F338">
        <v>569188047</v>
      </c>
    </row>
    <row r="339" spans="1:6" ht="13" x14ac:dyDescent="0.15">
      <c r="A339" s="3">
        <v>42620</v>
      </c>
      <c r="B339">
        <v>2185.17</v>
      </c>
      <c r="C339">
        <v>2187.87</v>
      </c>
      <c r="D339">
        <v>2179.0700000000002</v>
      </c>
      <c r="E339">
        <v>2186.16</v>
      </c>
      <c r="F339">
        <v>511720244</v>
      </c>
    </row>
    <row r="340" spans="1:6" ht="13" x14ac:dyDescent="0.15">
      <c r="A340" s="3">
        <v>42621</v>
      </c>
      <c r="B340">
        <v>2182.7600000000002</v>
      </c>
      <c r="C340">
        <v>2184.94</v>
      </c>
      <c r="D340">
        <v>2177.4899999999998</v>
      </c>
      <c r="E340">
        <v>2181.3000000000002</v>
      </c>
      <c r="F340">
        <v>530082582</v>
      </c>
    </row>
    <row r="341" spans="1:6" ht="13" x14ac:dyDescent="0.15">
      <c r="A341" s="3">
        <v>42622</v>
      </c>
      <c r="B341">
        <v>2169.08</v>
      </c>
      <c r="C341">
        <v>2169.08</v>
      </c>
      <c r="D341">
        <v>2127.81</v>
      </c>
      <c r="E341">
        <v>2127.81</v>
      </c>
      <c r="F341">
        <v>733227083</v>
      </c>
    </row>
    <row r="342" spans="1:6" ht="13" x14ac:dyDescent="0.15">
      <c r="A342" s="3">
        <v>42625</v>
      </c>
      <c r="B342">
        <v>2120.86</v>
      </c>
      <c r="C342">
        <v>2163.3000000000002</v>
      </c>
      <c r="D342">
        <v>2119.12</v>
      </c>
      <c r="E342">
        <v>2159.04</v>
      </c>
      <c r="F342">
        <v>678673914</v>
      </c>
    </row>
    <row r="343" spans="1:6" ht="13" x14ac:dyDescent="0.15">
      <c r="A343" s="3">
        <v>42626</v>
      </c>
      <c r="B343">
        <v>2150.4699999999998</v>
      </c>
      <c r="C343">
        <v>2150.4699999999998</v>
      </c>
      <c r="D343">
        <v>2120.27</v>
      </c>
      <c r="E343">
        <v>2127.02</v>
      </c>
      <c r="F343">
        <v>671922252</v>
      </c>
    </row>
    <row r="344" spans="1:6" ht="13" x14ac:dyDescent="0.15">
      <c r="A344" s="3">
        <v>42627</v>
      </c>
      <c r="B344">
        <v>2127.86</v>
      </c>
      <c r="C344">
        <v>2141.33</v>
      </c>
      <c r="D344">
        <v>2119.9</v>
      </c>
      <c r="E344">
        <v>2125.77</v>
      </c>
      <c r="F344">
        <v>613057415</v>
      </c>
    </row>
    <row r="345" spans="1:6" ht="13" x14ac:dyDescent="0.15">
      <c r="A345" s="3">
        <v>42628</v>
      </c>
      <c r="B345">
        <v>2125.36</v>
      </c>
      <c r="C345">
        <v>2151.31</v>
      </c>
      <c r="D345">
        <v>2122.36</v>
      </c>
      <c r="E345">
        <v>2147.2600000000002</v>
      </c>
      <c r="F345">
        <v>582039878</v>
      </c>
    </row>
    <row r="346" spans="1:6" ht="13" x14ac:dyDescent="0.15">
      <c r="A346" s="3">
        <v>42629</v>
      </c>
      <c r="B346">
        <v>2146.48</v>
      </c>
      <c r="C346">
        <v>2146.48</v>
      </c>
      <c r="D346">
        <v>2131.1999999999998</v>
      </c>
      <c r="E346">
        <v>2139.16</v>
      </c>
      <c r="F346">
        <v>400617912</v>
      </c>
    </row>
    <row r="347" spans="1:6" ht="13" x14ac:dyDescent="0.15">
      <c r="A347" s="3">
        <v>42632</v>
      </c>
      <c r="B347">
        <v>2143.9899999999998</v>
      </c>
      <c r="C347">
        <v>2153.61</v>
      </c>
      <c r="D347">
        <v>2135.91</v>
      </c>
      <c r="E347">
        <v>2139.12</v>
      </c>
      <c r="F347">
        <v>513135966</v>
      </c>
    </row>
    <row r="348" spans="1:6" ht="13" x14ac:dyDescent="0.15">
      <c r="A348" s="3">
        <v>42633</v>
      </c>
      <c r="B348">
        <v>2145.94</v>
      </c>
      <c r="C348">
        <v>2150.8000000000002</v>
      </c>
      <c r="D348">
        <v>2139.17</v>
      </c>
      <c r="E348">
        <v>2139.7600000000002</v>
      </c>
      <c r="F348">
        <v>484990399</v>
      </c>
    </row>
    <row r="349" spans="1:6" ht="13" x14ac:dyDescent="0.15">
      <c r="A349" s="3">
        <v>42634</v>
      </c>
      <c r="B349">
        <v>2144.58</v>
      </c>
      <c r="C349">
        <v>2165.11</v>
      </c>
      <c r="D349">
        <v>2139.5700000000002</v>
      </c>
      <c r="E349">
        <v>2163.12</v>
      </c>
      <c r="F349">
        <v>584045429</v>
      </c>
    </row>
    <row r="350" spans="1:6" ht="13" x14ac:dyDescent="0.15">
      <c r="A350" s="3">
        <v>42635</v>
      </c>
      <c r="B350">
        <v>2170.94</v>
      </c>
      <c r="C350">
        <v>2179.9899999999998</v>
      </c>
      <c r="D350">
        <v>2170.94</v>
      </c>
      <c r="E350">
        <v>2177.1799999999998</v>
      </c>
      <c r="F350">
        <v>521694980</v>
      </c>
    </row>
    <row r="351" spans="1:6" ht="13" x14ac:dyDescent="0.15">
      <c r="A351" s="3">
        <v>42636</v>
      </c>
      <c r="B351">
        <v>2173.29</v>
      </c>
      <c r="C351">
        <v>2173.75</v>
      </c>
      <c r="D351">
        <v>2163.9699999999998</v>
      </c>
      <c r="E351">
        <v>2164.69</v>
      </c>
      <c r="F351">
        <v>520708916</v>
      </c>
    </row>
    <row r="352" spans="1:6" ht="13" x14ac:dyDescent="0.15">
      <c r="A352" s="3">
        <v>42639</v>
      </c>
      <c r="B352">
        <v>2158.54</v>
      </c>
      <c r="C352">
        <v>2158.54</v>
      </c>
      <c r="D352">
        <v>2145.04</v>
      </c>
      <c r="E352">
        <v>2146.1</v>
      </c>
      <c r="F352">
        <v>517726610</v>
      </c>
    </row>
    <row r="353" spans="1:6" ht="13" x14ac:dyDescent="0.15">
      <c r="A353" s="3">
        <v>42640</v>
      </c>
      <c r="B353">
        <v>2146.04</v>
      </c>
      <c r="C353">
        <v>2161.13</v>
      </c>
      <c r="D353">
        <v>2141.5500000000002</v>
      </c>
      <c r="E353">
        <v>2159.9299999999998</v>
      </c>
      <c r="F353">
        <v>534092546</v>
      </c>
    </row>
    <row r="354" spans="1:6" ht="13" x14ac:dyDescent="0.15">
      <c r="A354" s="3">
        <v>42641</v>
      </c>
      <c r="B354">
        <v>2161.85</v>
      </c>
      <c r="C354">
        <v>2172.4</v>
      </c>
      <c r="D354">
        <v>2151.79</v>
      </c>
      <c r="E354">
        <v>2171.37</v>
      </c>
      <c r="F354">
        <v>558057164</v>
      </c>
    </row>
    <row r="355" spans="1:6" ht="13" x14ac:dyDescent="0.15">
      <c r="A355" s="3">
        <v>42642</v>
      </c>
      <c r="B355">
        <v>2168.9</v>
      </c>
      <c r="C355">
        <v>2172.67</v>
      </c>
      <c r="D355">
        <v>2145.1999999999998</v>
      </c>
      <c r="E355">
        <v>2151.13</v>
      </c>
      <c r="F355">
        <v>616762353</v>
      </c>
    </row>
    <row r="356" spans="1:6" ht="13" x14ac:dyDescent="0.15">
      <c r="A356" s="3">
        <v>42643</v>
      </c>
      <c r="B356">
        <v>2156.5100000000002</v>
      </c>
      <c r="C356">
        <v>2175.3000000000002</v>
      </c>
      <c r="D356">
        <v>2156.5100000000002</v>
      </c>
      <c r="E356">
        <v>2168.27</v>
      </c>
      <c r="F356">
        <v>809085274</v>
      </c>
    </row>
    <row r="357" spans="1:6" ht="13" x14ac:dyDescent="0.15">
      <c r="A357" s="3">
        <v>42646</v>
      </c>
      <c r="B357">
        <v>2164.33</v>
      </c>
      <c r="C357">
        <v>2164.41</v>
      </c>
      <c r="D357">
        <v>2154.77</v>
      </c>
      <c r="E357">
        <v>2161.1999999999998</v>
      </c>
      <c r="F357">
        <v>514417686</v>
      </c>
    </row>
    <row r="358" spans="1:6" ht="13" x14ac:dyDescent="0.15">
      <c r="A358" s="3">
        <v>42647</v>
      </c>
      <c r="B358">
        <v>2163.37</v>
      </c>
      <c r="C358">
        <v>2165.46</v>
      </c>
      <c r="D358">
        <v>2144.0100000000002</v>
      </c>
      <c r="E358">
        <v>2150.4899999999998</v>
      </c>
      <c r="F358">
        <v>562930985</v>
      </c>
    </row>
    <row r="359" spans="1:6" ht="13" x14ac:dyDescent="0.15">
      <c r="A359" s="3">
        <v>42648</v>
      </c>
      <c r="B359">
        <v>2155.15</v>
      </c>
      <c r="C359">
        <v>2163.9499999999998</v>
      </c>
      <c r="D359">
        <v>2155.15</v>
      </c>
      <c r="E359">
        <v>2159.73</v>
      </c>
      <c r="F359">
        <v>599657716</v>
      </c>
    </row>
    <row r="360" spans="1:6" ht="13" x14ac:dyDescent="0.15">
      <c r="A360" s="3">
        <v>42649</v>
      </c>
      <c r="B360">
        <v>2158.2199999999998</v>
      </c>
      <c r="C360">
        <v>2162.9299999999998</v>
      </c>
      <c r="D360">
        <v>2150.2800000000002</v>
      </c>
      <c r="E360">
        <v>2160.77</v>
      </c>
      <c r="F360">
        <v>517703265</v>
      </c>
    </row>
    <row r="361" spans="1:6" ht="13" x14ac:dyDescent="0.15">
      <c r="A361" s="3">
        <v>42650</v>
      </c>
      <c r="B361">
        <v>2164.19</v>
      </c>
      <c r="C361">
        <v>2165.86</v>
      </c>
      <c r="D361">
        <v>2144.85</v>
      </c>
      <c r="E361">
        <v>2153.7399999999998</v>
      </c>
      <c r="F361">
        <v>620211022</v>
      </c>
    </row>
    <row r="362" spans="1:6" ht="13" x14ac:dyDescent="0.15">
      <c r="A362" s="3">
        <v>42653</v>
      </c>
      <c r="B362">
        <v>2160.39</v>
      </c>
      <c r="C362">
        <v>2169.6</v>
      </c>
      <c r="D362">
        <v>2160.39</v>
      </c>
      <c r="E362">
        <v>2163.66</v>
      </c>
      <c r="F362">
        <v>452832485</v>
      </c>
    </row>
    <row r="363" spans="1:6" ht="13" x14ac:dyDescent="0.15">
      <c r="A363" s="3">
        <v>42654</v>
      </c>
      <c r="B363">
        <v>2161.35</v>
      </c>
      <c r="C363">
        <v>2161.56</v>
      </c>
      <c r="D363">
        <v>2128.84</v>
      </c>
      <c r="E363">
        <v>2136.73</v>
      </c>
      <c r="F363">
        <v>576873524</v>
      </c>
    </row>
    <row r="364" spans="1:6" ht="13" x14ac:dyDescent="0.15">
      <c r="A364" s="3">
        <v>42655</v>
      </c>
      <c r="B364">
        <v>2137.67</v>
      </c>
      <c r="C364">
        <v>2145.36</v>
      </c>
      <c r="D364">
        <v>2132.77</v>
      </c>
      <c r="E364">
        <v>2139.1799999999998</v>
      </c>
      <c r="F364">
        <v>458983794</v>
      </c>
    </row>
    <row r="365" spans="1:6" ht="13" x14ac:dyDescent="0.15">
      <c r="A365" s="3">
        <v>42656</v>
      </c>
      <c r="B365">
        <v>2130.2600000000002</v>
      </c>
      <c r="C365">
        <v>2138.19</v>
      </c>
      <c r="D365">
        <v>2114.7199999999998</v>
      </c>
      <c r="E365">
        <v>2132.5500000000002</v>
      </c>
      <c r="F365">
        <v>561305794</v>
      </c>
    </row>
    <row r="366" spans="1:6" ht="13" x14ac:dyDescent="0.15">
      <c r="A366" s="3">
        <v>42657</v>
      </c>
      <c r="B366">
        <v>2139.6799999999998</v>
      </c>
      <c r="C366">
        <v>2149.19</v>
      </c>
      <c r="D366">
        <v>2132.98</v>
      </c>
      <c r="E366">
        <v>2132.98</v>
      </c>
      <c r="F366">
        <v>548993154</v>
      </c>
    </row>
    <row r="367" spans="1:6" ht="13" x14ac:dyDescent="0.15">
      <c r="A367" s="3">
        <v>42660</v>
      </c>
      <c r="B367">
        <v>2132.9499999999998</v>
      </c>
      <c r="C367">
        <v>2135.61</v>
      </c>
      <c r="D367">
        <v>2124.4299999999998</v>
      </c>
      <c r="E367">
        <v>2126.5</v>
      </c>
      <c r="F367">
        <v>479259921</v>
      </c>
    </row>
    <row r="368" spans="1:6" ht="13" x14ac:dyDescent="0.15">
      <c r="A368" s="3">
        <v>42661</v>
      </c>
      <c r="B368">
        <v>2138.31</v>
      </c>
      <c r="C368">
        <v>2144.38</v>
      </c>
      <c r="D368">
        <v>2135.4899999999998</v>
      </c>
      <c r="E368">
        <v>2139.6</v>
      </c>
      <c r="F368">
        <v>475279452</v>
      </c>
    </row>
    <row r="369" spans="1:6" ht="13" x14ac:dyDescent="0.15">
      <c r="A369" s="3">
        <v>42662</v>
      </c>
      <c r="B369">
        <v>2140.81</v>
      </c>
      <c r="C369">
        <v>2148.44</v>
      </c>
      <c r="D369">
        <v>2138.15</v>
      </c>
      <c r="E369">
        <v>2144.29</v>
      </c>
      <c r="F369">
        <v>544371390</v>
      </c>
    </row>
    <row r="370" spans="1:6" ht="13" x14ac:dyDescent="0.15">
      <c r="A370" s="3">
        <v>42663</v>
      </c>
      <c r="B370">
        <v>2142.5100000000002</v>
      </c>
      <c r="C370">
        <v>2147.1799999999998</v>
      </c>
      <c r="D370">
        <v>2133.44</v>
      </c>
      <c r="E370">
        <v>2141.34</v>
      </c>
      <c r="F370">
        <v>571361511</v>
      </c>
    </row>
    <row r="371" spans="1:6" ht="13" x14ac:dyDescent="0.15">
      <c r="A371" s="3">
        <v>42664</v>
      </c>
      <c r="B371">
        <v>2139.4299999999998</v>
      </c>
      <c r="C371">
        <v>2142.63</v>
      </c>
      <c r="D371">
        <v>2130.09</v>
      </c>
      <c r="E371">
        <v>2141.16</v>
      </c>
      <c r="F371">
        <v>654860857</v>
      </c>
    </row>
    <row r="372" spans="1:6" ht="13" x14ac:dyDescent="0.15">
      <c r="A372" s="3">
        <v>42667</v>
      </c>
      <c r="B372">
        <v>2148.5</v>
      </c>
      <c r="C372">
        <v>2154.79</v>
      </c>
      <c r="D372">
        <v>2146.91</v>
      </c>
      <c r="E372">
        <v>2151.33</v>
      </c>
      <c r="F372">
        <v>523564705</v>
      </c>
    </row>
    <row r="373" spans="1:6" ht="13" x14ac:dyDescent="0.15">
      <c r="A373" s="3">
        <v>42668</v>
      </c>
      <c r="B373">
        <v>2149.7199999999998</v>
      </c>
      <c r="C373">
        <v>2151.44</v>
      </c>
      <c r="D373">
        <v>2141.9299999999998</v>
      </c>
      <c r="E373">
        <v>2143.16</v>
      </c>
      <c r="F373">
        <v>530792143</v>
      </c>
    </row>
    <row r="374" spans="1:6" ht="13" x14ac:dyDescent="0.15">
      <c r="A374" s="3">
        <v>42669</v>
      </c>
      <c r="B374">
        <v>2136.9699999999998</v>
      </c>
      <c r="C374">
        <v>2145.73</v>
      </c>
      <c r="D374">
        <v>2131.59</v>
      </c>
      <c r="E374">
        <v>2139.4299999999998</v>
      </c>
      <c r="F374">
        <v>562087522</v>
      </c>
    </row>
    <row r="375" spans="1:6" ht="13" x14ac:dyDescent="0.15">
      <c r="A375" s="3">
        <v>42670</v>
      </c>
      <c r="B375">
        <v>2144.06</v>
      </c>
      <c r="C375">
        <v>2147.13</v>
      </c>
      <c r="D375">
        <v>2132.52</v>
      </c>
      <c r="E375">
        <v>2133.04</v>
      </c>
      <c r="F375">
        <v>614708800</v>
      </c>
    </row>
    <row r="376" spans="1:6" ht="13" x14ac:dyDescent="0.15">
      <c r="A376" s="3">
        <v>42671</v>
      </c>
      <c r="B376">
        <v>2132.23</v>
      </c>
      <c r="C376">
        <v>2140.7199999999998</v>
      </c>
      <c r="D376">
        <v>2119.36</v>
      </c>
      <c r="E376">
        <v>2126.41</v>
      </c>
      <c r="F376">
        <v>641367743</v>
      </c>
    </row>
    <row r="377" spans="1:6" ht="13" x14ac:dyDescent="0.15">
      <c r="A377" s="3">
        <v>42674</v>
      </c>
      <c r="B377">
        <v>2129.7800000000002</v>
      </c>
      <c r="C377">
        <v>2133.25</v>
      </c>
      <c r="D377">
        <v>2125.5300000000002</v>
      </c>
      <c r="E377">
        <v>2126.15</v>
      </c>
      <c r="F377">
        <v>673263488</v>
      </c>
    </row>
    <row r="378" spans="1:6" ht="13" x14ac:dyDescent="0.15">
      <c r="A378" s="3">
        <v>42675</v>
      </c>
      <c r="B378">
        <v>2128.6799999999998</v>
      </c>
      <c r="C378">
        <v>2131.4499999999998</v>
      </c>
      <c r="D378">
        <v>2097.85</v>
      </c>
      <c r="E378">
        <v>2111.7199999999998</v>
      </c>
      <c r="F378">
        <v>712604519</v>
      </c>
    </row>
    <row r="379" spans="1:6" ht="13" x14ac:dyDescent="0.15">
      <c r="A379" s="3">
        <v>42676</v>
      </c>
      <c r="B379">
        <v>2109.4299999999998</v>
      </c>
      <c r="C379">
        <v>2111.7600000000002</v>
      </c>
      <c r="D379">
        <v>2094</v>
      </c>
      <c r="E379">
        <v>2097.94</v>
      </c>
      <c r="F379">
        <v>641501340</v>
      </c>
    </row>
    <row r="380" spans="1:6" ht="13" x14ac:dyDescent="0.15">
      <c r="A380" s="3">
        <v>42677</v>
      </c>
      <c r="B380">
        <v>2098.8000000000002</v>
      </c>
      <c r="C380">
        <v>2102.56</v>
      </c>
      <c r="D380">
        <v>2085.23</v>
      </c>
      <c r="E380">
        <v>2088.66</v>
      </c>
      <c r="F380">
        <v>593008290</v>
      </c>
    </row>
    <row r="381" spans="1:6" ht="13" x14ac:dyDescent="0.15">
      <c r="A381" s="3">
        <v>42678</v>
      </c>
      <c r="B381">
        <v>2083.79</v>
      </c>
      <c r="C381">
        <v>2099.0700000000002</v>
      </c>
      <c r="D381">
        <v>2083.79</v>
      </c>
      <c r="E381">
        <v>2085.1799999999998</v>
      </c>
      <c r="F381">
        <v>624672107</v>
      </c>
    </row>
    <row r="382" spans="1:6" ht="13" x14ac:dyDescent="0.15">
      <c r="A382" s="3">
        <v>42681</v>
      </c>
      <c r="B382">
        <v>2100.59</v>
      </c>
      <c r="C382">
        <v>2132</v>
      </c>
      <c r="D382">
        <v>2100.59</v>
      </c>
      <c r="E382">
        <v>2131.52</v>
      </c>
      <c r="F382">
        <v>608621001</v>
      </c>
    </row>
    <row r="383" spans="1:6" ht="13" x14ac:dyDescent="0.15">
      <c r="A383" s="3">
        <v>42682</v>
      </c>
      <c r="B383">
        <v>2129.92</v>
      </c>
      <c r="C383">
        <v>2146.87</v>
      </c>
      <c r="D383">
        <v>2123.56</v>
      </c>
      <c r="E383">
        <v>2139.56</v>
      </c>
      <c r="F383">
        <v>556634318</v>
      </c>
    </row>
    <row r="384" spans="1:6" ht="13" x14ac:dyDescent="0.15">
      <c r="A384" s="3">
        <v>42683</v>
      </c>
      <c r="B384">
        <v>2131.56</v>
      </c>
      <c r="C384">
        <v>2170.1</v>
      </c>
      <c r="D384">
        <v>2125.35</v>
      </c>
      <c r="E384">
        <v>2163.2600000000002</v>
      </c>
      <c r="F384">
        <v>992770441</v>
      </c>
    </row>
    <row r="385" spans="1:6" ht="13" x14ac:dyDescent="0.15">
      <c r="A385" s="3">
        <v>42684</v>
      </c>
      <c r="B385">
        <v>2167.4899999999998</v>
      </c>
      <c r="C385">
        <v>2182.3000000000002</v>
      </c>
      <c r="D385">
        <v>2151.17</v>
      </c>
      <c r="E385">
        <v>2167.48</v>
      </c>
      <c r="F385">
        <v>997868105</v>
      </c>
    </row>
    <row r="386" spans="1:6" ht="13" x14ac:dyDescent="0.15">
      <c r="A386" s="3">
        <v>42685</v>
      </c>
      <c r="B386">
        <v>2162.71</v>
      </c>
      <c r="C386">
        <v>2165.92</v>
      </c>
      <c r="D386">
        <v>2152.4899999999998</v>
      </c>
      <c r="E386">
        <v>2164.4499999999998</v>
      </c>
      <c r="F386">
        <v>734601661</v>
      </c>
    </row>
    <row r="387" spans="1:6" ht="13" x14ac:dyDescent="0.15">
      <c r="A387" s="3">
        <v>42688</v>
      </c>
      <c r="B387">
        <v>2165.64</v>
      </c>
      <c r="C387">
        <v>2171.36</v>
      </c>
      <c r="D387">
        <v>2156.08</v>
      </c>
      <c r="E387">
        <v>2164.1999999999998</v>
      </c>
      <c r="F387">
        <v>798242148</v>
      </c>
    </row>
    <row r="388" spans="1:6" ht="13" x14ac:dyDescent="0.15">
      <c r="A388" s="3">
        <v>42689</v>
      </c>
      <c r="B388">
        <v>2168.29</v>
      </c>
      <c r="C388">
        <v>2180.84</v>
      </c>
      <c r="D388">
        <v>2166.38</v>
      </c>
      <c r="E388">
        <v>2180.39</v>
      </c>
      <c r="F388">
        <v>683976715</v>
      </c>
    </row>
    <row r="389" spans="1:6" ht="13" x14ac:dyDescent="0.15">
      <c r="A389" s="3">
        <v>42690</v>
      </c>
      <c r="B389">
        <v>2177.5300000000002</v>
      </c>
      <c r="C389">
        <v>2179.2199999999998</v>
      </c>
      <c r="D389">
        <v>2172.1999999999998</v>
      </c>
      <c r="E389">
        <v>2176.94</v>
      </c>
      <c r="F389">
        <v>569327906</v>
      </c>
    </row>
    <row r="390" spans="1:6" ht="13" x14ac:dyDescent="0.15">
      <c r="A390" s="3">
        <v>42691</v>
      </c>
      <c r="B390">
        <v>2178.61</v>
      </c>
      <c r="C390">
        <v>2188.06</v>
      </c>
      <c r="D390">
        <v>2176.65</v>
      </c>
      <c r="E390">
        <v>2187.12</v>
      </c>
      <c r="F390">
        <v>569018109</v>
      </c>
    </row>
    <row r="391" spans="1:6" ht="13" x14ac:dyDescent="0.15">
      <c r="A391" s="3">
        <v>42692</v>
      </c>
      <c r="B391">
        <v>2186.85</v>
      </c>
      <c r="C391">
        <v>2189.89</v>
      </c>
      <c r="D391">
        <v>2180.38</v>
      </c>
      <c r="E391">
        <v>2181.9</v>
      </c>
      <c r="F391">
        <v>670518317</v>
      </c>
    </row>
    <row r="392" spans="1:6" ht="13" x14ac:dyDescent="0.15">
      <c r="A392" s="3">
        <v>42695</v>
      </c>
      <c r="B392">
        <v>2186.4299999999998</v>
      </c>
      <c r="C392">
        <v>2198.6999999999998</v>
      </c>
      <c r="D392">
        <v>2186.4299999999998</v>
      </c>
      <c r="E392">
        <v>2198.1799999999998</v>
      </c>
      <c r="F392">
        <v>571010395</v>
      </c>
    </row>
    <row r="393" spans="1:6" ht="13" x14ac:dyDescent="0.15">
      <c r="A393" s="3">
        <v>42696</v>
      </c>
      <c r="B393">
        <v>2201.56</v>
      </c>
      <c r="C393">
        <v>2204.8000000000002</v>
      </c>
      <c r="D393">
        <v>2194.5100000000002</v>
      </c>
      <c r="E393">
        <v>2202.94</v>
      </c>
      <c r="F393">
        <v>593601222</v>
      </c>
    </row>
    <row r="394" spans="1:6" ht="13" x14ac:dyDescent="0.15">
      <c r="A394" s="3">
        <v>42697</v>
      </c>
      <c r="B394">
        <v>2198.5500000000002</v>
      </c>
      <c r="C394">
        <v>2204.7199999999998</v>
      </c>
      <c r="D394">
        <v>2194.5100000000002</v>
      </c>
      <c r="E394">
        <v>2204.7199999999998</v>
      </c>
      <c r="F394">
        <v>523778550</v>
      </c>
    </row>
    <row r="395" spans="1:6" ht="13" x14ac:dyDescent="0.15">
      <c r="A395" s="3">
        <v>42699</v>
      </c>
      <c r="B395">
        <v>2206.27</v>
      </c>
      <c r="C395">
        <v>2213.35</v>
      </c>
      <c r="D395">
        <v>2206.27</v>
      </c>
      <c r="E395">
        <v>2213.35</v>
      </c>
      <c r="F395">
        <v>261974388</v>
      </c>
    </row>
    <row r="396" spans="1:6" ht="13" x14ac:dyDescent="0.15">
      <c r="A396" s="3">
        <v>42702</v>
      </c>
      <c r="B396">
        <v>2210.21</v>
      </c>
      <c r="C396">
        <v>2211.14</v>
      </c>
      <c r="D396">
        <v>2200.36</v>
      </c>
      <c r="E396">
        <v>2201.7199999999998</v>
      </c>
      <c r="F396">
        <v>562045555</v>
      </c>
    </row>
    <row r="397" spans="1:6" ht="13" x14ac:dyDescent="0.15">
      <c r="A397" s="3">
        <v>42703</v>
      </c>
      <c r="B397">
        <v>2200.7600000000002</v>
      </c>
      <c r="C397">
        <v>2210.46</v>
      </c>
      <c r="D397">
        <v>2198.15</v>
      </c>
      <c r="E397">
        <v>2204.66</v>
      </c>
      <c r="F397">
        <v>578283446</v>
      </c>
    </row>
    <row r="398" spans="1:6" ht="13" x14ac:dyDescent="0.15">
      <c r="A398" s="3">
        <v>42704</v>
      </c>
      <c r="B398">
        <v>2204.9699999999998</v>
      </c>
      <c r="C398">
        <v>2214.1</v>
      </c>
      <c r="D398">
        <v>2198.81</v>
      </c>
      <c r="E398">
        <v>2198.81</v>
      </c>
      <c r="F398">
        <v>1055352593</v>
      </c>
    </row>
    <row r="399" spans="1:6" ht="13" x14ac:dyDescent="0.15">
      <c r="A399" s="3">
        <v>42705</v>
      </c>
      <c r="B399">
        <v>2200.17</v>
      </c>
      <c r="C399">
        <v>2202.6</v>
      </c>
      <c r="D399">
        <v>2187.44</v>
      </c>
      <c r="E399">
        <v>2191.08</v>
      </c>
      <c r="F399">
        <v>742047822</v>
      </c>
    </row>
    <row r="400" spans="1:6" ht="13" x14ac:dyDescent="0.15">
      <c r="A400" s="3">
        <v>42706</v>
      </c>
      <c r="B400">
        <v>2191.12</v>
      </c>
      <c r="C400">
        <v>2197.9499999999998</v>
      </c>
      <c r="D400">
        <v>2188.37</v>
      </c>
      <c r="E400">
        <v>2191.9499999999998</v>
      </c>
      <c r="F400">
        <v>587431425</v>
      </c>
    </row>
    <row r="401" spans="1:6" ht="13" x14ac:dyDescent="0.15">
      <c r="A401" s="3">
        <v>42709</v>
      </c>
      <c r="B401">
        <v>2200.65</v>
      </c>
      <c r="C401">
        <v>2209.42</v>
      </c>
      <c r="D401">
        <v>2199.9699999999998</v>
      </c>
      <c r="E401">
        <v>2204.71</v>
      </c>
      <c r="F401">
        <v>2353018266</v>
      </c>
    </row>
    <row r="402" spans="1:6" ht="13" x14ac:dyDescent="0.15">
      <c r="A402" s="3">
        <v>42710</v>
      </c>
      <c r="B402">
        <v>2207.2600000000002</v>
      </c>
      <c r="C402">
        <v>2212.7800000000002</v>
      </c>
      <c r="D402">
        <v>2202.21</v>
      </c>
      <c r="E402">
        <v>2212.23</v>
      </c>
      <c r="F402">
        <v>2170130802</v>
      </c>
    </row>
    <row r="403" spans="1:6" ht="13" x14ac:dyDescent="0.15">
      <c r="A403" s="3">
        <v>42711</v>
      </c>
      <c r="B403">
        <v>2210.7199999999998</v>
      </c>
      <c r="C403">
        <v>2241.63</v>
      </c>
      <c r="D403">
        <v>2208.9299999999998</v>
      </c>
      <c r="E403">
        <v>2241.35</v>
      </c>
      <c r="F403">
        <v>2734847977</v>
      </c>
    </row>
    <row r="404" spans="1:6" ht="13" x14ac:dyDescent="0.15">
      <c r="A404" s="3">
        <v>42712</v>
      </c>
      <c r="B404">
        <v>2241.13</v>
      </c>
      <c r="C404">
        <v>2251.69</v>
      </c>
      <c r="D404">
        <v>2237.5700000000002</v>
      </c>
      <c r="E404">
        <v>2246.19</v>
      </c>
      <c r="F404">
        <v>2436820226</v>
      </c>
    </row>
    <row r="405" spans="1:6" ht="13" x14ac:dyDescent="0.15">
      <c r="A405" s="3">
        <v>42713</v>
      </c>
      <c r="B405">
        <v>2249.73</v>
      </c>
      <c r="C405">
        <v>2259.8000000000002</v>
      </c>
      <c r="D405">
        <v>2249.23</v>
      </c>
      <c r="E405">
        <v>2259.5300000000002</v>
      </c>
      <c r="F405">
        <v>2200678359</v>
      </c>
    </row>
    <row r="406" spans="1:6" ht="13" x14ac:dyDescent="0.15">
      <c r="A406" s="3">
        <v>42716</v>
      </c>
      <c r="B406">
        <v>2258.83</v>
      </c>
      <c r="C406">
        <v>2264.0300000000002</v>
      </c>
      <c r="D406">
        <v>2252.37</v>
      </c>
      <c r="E406">
        <v>2256.96</v>
      </c>
      <c r="F406">
        <v>2358393197</v>
      </c>
    </row>
    <row r="407" spans="1:6" ht="13" x14ac:dyDescent="0.15">
      <c r="A407" s="3">
        <v>42717</v>
      </c>
      <c r="B407">
        <v>2263.3200000000002</v>
      </c>
      <c r="C407">
        <v>2277.5300000000002</v>
      </c>
      <c r="D407">
        <v>2263.3200000000002</v>
      </c>
      <c r="E407">
        <v>2271.7199999999998</v>
      </c>
      <c r="F407">
        <v>2311255270</v>
      </c>
    </row>
    <row r="408" spans="1:6" ht="13" x14ac:dyDescent="0.15">
      <c r="A408" s="3">
        <v>42718</v>
      </c>
      <c r="B408">
        <v>2268.35</v>
      </c>
      <c r="C408">
        <v>2276.1999999999998</v>
      </c>
      <c r="D408">
        <v>2248.44</v>
      </c>
      <c r="E408">
        <v>2253.2800000000002</v>
      </c>
      <c r="F408">
        <v>2660459785</v>
      </c>
    </row>
    <row r="409" spans="1:6" ht="13" x14ac:dyDescent="0.15">
      <c r="A409" s="3">
        <v>42719</v>
      </c>
      <c r="B409">
        <v>2253.77</v>
      </c>
      <c r="C409">
        <v>2272.12</v>
      </c>
      <c r="D409">
        <v>2253.77</v>
      </c>
      <c r="E409">
        <v>2262.0300000000002</v>
      </c>
      <c r="F409">
        <v>2428153807</v>
      </c>
    </row>
    <row r="410" spans="1:6" ht="13" x14ac:dyDescent="0.15">
      <c r="A410" s="3">
        <v>42720</v>
      </c>
      <c r="B410">
        <v>2266.81</v>
      </c>
      <c r="C410">
        <v>2268.0500000000002</v>
      </c>
      <c r="D410">
        <v>2254.2399999999998</v>
      </c>
      <c r="E410">
        <v>2258.0700000000002</v>
      </c>
      <c r="F410">
        <v>3710588961</v>
      </c>
    </row>
    <row r="411" spans="1:6" ht="13" x14ac:dyDescent="0.15">
      <c r="A411" s="3">
        <v>42723</v>
      </c>
      <c r="B411">
        <v>2259.2399999999998</v>
      </c>
      <c r="C411">
        <v>2267.4699999999998</v>
      </c>
      <c r="D411">
        <v>2258.21</v>
      </c>
      <c r="E411">
        <v>2262.5300000000002</v>
      </c>
      <c r="F411">
        <v>782039600</v>
      </c>
    </row>
    <row r="412" spans="1:6" ht="13" x14ac:dyDescent="0.15">
      <c r="A412" s="3">
        <v>42724</v>
      </c>
      <c r="B412">
        <v>2266.5</v>
      </c>
      <c r="C412">
        <v>2272.56</v>
      </c>
      <c r="D412">
        <v>2266.14</v>
      </c>
      <c r="E412">
        <v>2270.7600000000002</v>
      </c>
      <c r="F412">
        <v>724056775</v>
      </c>
    </row>
    <row r="413" spans="1:6" ht="13" x14ac:dyDescent="0.15">
      <c r="A413" s="3">
        <v>42725</v>
      </c>
      <c r="B413">
        <v>2270.54</v>
      </c>
      <c r="C413">
        <v>2271.23</v>
      </c>
      <c r="D413">
        <v>2265.15</v>
      </c>
      <c r="E413">
        <v>2265.1799999999998</v>
      </c>
      <c r="F413">
        <v>511345709</v>
      </c>
    </row>
    <row r="414" spans="1:6" ht="13" x14ac:dyDescent="0.15">
      <c r="A414" s="3">
        <v>42726</v>
      </c>
      <c r="B414">
        <v>2262.9299999999998</v>
      </c>
      <c r="C414">
        <v>2263.1799999999998</v>
      </c>
      <c r="D414">
        <v>2256.08</v>
      </c>
      <c r="E414">
        <v>2260.96</v>
      </c>
      <c r="F414">
        <v>639919664</v>
      </c>
    </row>
    <row r="415" spans="1:6" ht="13" x14ac:dyDescent="0.15">
      <c r="A415" s="3">
        <v>42727</v>
      </c>
      <c r="B415">
        <v>2260.25</v>
      </c>
      <c r="C415">
        <v>2263.79</v>
      </c>
      <c r="D415">
        <v>2258.84</v>
      </c>
      <c r="E415">
        <v>2263.79</v>
      </c>
      <c r="F415">
        <v>8325217</v>
      </c>
    </row>
    <row r="416" spans="1:6" ht="13" x14ac:dyDescent="0.15">
      <c r="A416" s="3">
        <v>42731</v>
      </c>
      <c r="B416">
        <v>2266.23</v>
      </c>
      <c r="C416">
        <v>2273.8200000000002</v>
      </c>
      <c r="D416">
        <v>2266.15</v>
      </c>
      <c r="E416">
        <v>2268.88</v>
      </c>
      <c r="F416">
        <v>17232932</v>
      </c>
    </row>
    <row r="417" spans="1:6" ht="13" x14ac:dyDescent="0.15">
      <c r="A417" s="3">
        <v>42732</v>
      </c>
      <c r="B417">
        <v>2270.23</v>
      </c>
      <c r="C417">
        <v>2271.31</v>
      </c>
      <c r="D417">
        <v>2249.11</v>
      </c>
      <c r="E417">
        <v>2249.92</v>
      </c>
      <c r="F417">
        <v>269786637</v>
      </c>
    </row>
    <row r="418" spans="1:6" ht="13" x14ac:dyDescent="0.15">
      <c r="A418" s="3">
        <v>42733</v>
      </c>
      <c r="B418">
        <v>2249.5</v>
      </c>
      <c r="C418">
        <v>2254.5100000000002</v>
      </c>
      <c r="D418">
        <v>2244.56</v>
      </c>
      <c r="E418">
        <v>2249.2600000000002</v>
      </c>
      <c r="F418">
        <v>191088490</v>
      </c>
    </row>
    <row r="419" spans="1:6" ht="13" x14ac:dyDescent="0.15">
      <c r="A419" s="3">
        <v>42734</v>
      </c>
      <c r="B419">
        <v>2251.61</v>
      </c>
      <c r="C419">
        <v>2253.58</v>
      </c>
      <c r="D419">
        <v>2233.62</v>
      </c>
      <c r="E419">
        <v>2238.83</v>
      </c>
      <c r="F419">
        <v>506853466</v>
      </c>
    </row>
    <row r="420" spans="1:6" ht="13" x14ac:dyDescent="0.15">
      <c r="A420" s="3">
        <v>42738</v>
      </c>
      <c r="B420">
        <v>2251.5700000000002</v>
      </c>
      <c r="C420">
        <v>2263.88</v>
      </c>
      <c r="D420">
        <v>2245.13</v>
      </c>
      <c r="E420">
        <v>2257.83</v>
      </c>
      <c r="F420">
        <v>2318947704</v>
      </c>
    </row>
    <row r="421" spans="1:6" ht="13" x14ac:dyDescent="0.15">
      <c r="A421" s="3">
        <v>42739</v>
      </c>
      <c r="B421">
        <v>2261.6</v>
      </c>
      <c r="C421">
        <v>2272.8200000000002</v>
      </c>
      <c r="D421">
        <v>2261.6</v>
      </c>
      <c r="E421">
        <v>2270.75</v>
      </c>
      <c r="F421">
        <v>1023618459</v>
      </c>
    </row>
    <row r="422" spans="1:6" ht="13" x14ac:dyDescent="0.15">
      <c r="A422" s="3">
        <v>42740</v>
      </c>
      <c r="B422">
        <v>2268.1799999999998</v>
      </c>
      <c r="C422">
        <v>2271.5</v>
      </c>
      <c r="D422">
        <v>2260.4499999999998</v>
      </c>
      <c r="E422">
        <v>2269</v>
      </c>
      <c r="F422">
        <v>2187189991</v>
      </c>
    </row>
    <row r="423" spans="1:6" ht="13" x14ac:dyDescent="0.15">
      <c r="A423" s="3">
        <v>42741</v>
      </c>
      <c r="B423">
        <v>2271.14</v>
      </c>
      <c r="C423">
        <v>2282.1</v>
      </c>
      <c r="D423">
        <v>2264.06</v>
      </c>
      <c r="E423">
        <v>2276.98</v>
      </c>
      <c r="F423">
        <v>883439317</v>
      </c>
    </row>
    <row r="424" spans="1:6" ht="13" x14ac:dyDescent="0.15">
      <c r="A424" s="3">
        <v>42744</v>
      </c>
      <c r="B424">
        <v>2273.59</v>
      </c>
      <c r="C424">
        <v>2275.4899999999998</v>
      </c>
      <c r="D424">
        <v>2268.9</v>
      </c>
      <c r="E424">
        <v>2268.9</v>
      </c>
      <c r="F424">
        <v>840910697</v>
      </c>
    </row>
    <row r="425" spans="1:6" ht="13" x14ac:dyDescent="0.15">
      <c r="A425" s="3">
        <v>42745</v>
      </c>
      <c r="B425">
        <v>2269.7199999999998</v>
      </c>
      <c r="C425">
        <v>2279.27</v>
      </c>
      <c r="D425">
        <v>2265.27</v>
      </c>
      <c r="E425">
        <v>2268.9</v>
      </c>
      <c r="F425">
        <v>1064282732</v>
      </c>
    </row>
    <row r="426" spans="1:6" ht="13" x14ac:dyDescent="0.15">
      <c r="A426" s="3">
        <v>42746</v>
      </c>
      <c r="B426">
        <v>2268.6</v>
      </c>
      <c r="C426">
        <v>2275.3200000000002</v>
      </c>
      <c r="D426">
        <v>2260.83</v>
      </c>
      <c r="E426">
        <v>2275.3200000000002</v>
      </c>
      <c r="F426">
        <v>1044548052</v>
      </c>
    </row>
    <row r="427" spans="1:6" ht="13" x14ac:dyDescent="0.15">
      <c r="A427" s="3">
        <v>42747</v>
      </c>
      <c r="B427">
        <v>2271.14</v>
      </c>
      <c r="C427">
        <v>2271.7800000000002</v>
      </c>
      <c r="D427">
        <v>2254.25</v>
      </c>
      <c r="E427">
        <v>2270.44</v>
      </c>
      <c r="F427">
        <v>863643316</v>
      </c>
    </row>
    <row r="428" spans="1:6" ht="13" x14ac:dyDescent="0.15">
      <c r="A428" s="3">
        <v>42748</v>
      </c>
      <c r="B428">
        <v>2272.7399999999998</v>
      </c>
      <c r="C428">
        <v>2278.6799999999998</v>
      </c>
      <c r="D428">
        <v>2271.5100000000002</v>
      </c>
      <c r="E428">
        <v>2274.64</v>
      </c>
      <c r="F428">
        <v>707256094</v>
      </c>
    </row>
    <row r="429" spans="1:6" ht="13" x14ac:dyDescent="0.15">
      <c r="A429" s="3">
        <v>42752</v>
      </c>
      <c r="B429">
        <v>2269.14</v>
      </c>
      <c r="C429">
        <v>2272.08</v>
      </c>
      <c r="D429">
        <v>2262.81</v>
      </c>
      <c r="E429">
        <v>2267.89</v>
      </c>
      <c r="F429">
        <v>2147375749</v>
      </c>
    </row>
    <row r="430" spans="1:6" ht="13" x14ac:dyDescent="0.15">
      <c r="A430" s="3">
        <v>42753</v>
      </c>
      <c r="B430">
        <v>2269.14</v>
      </c>
      <c r="C430">
        <v>2272.0100000000002</v>
      </c>
      <c r="D430">
        <v>2263.35</v>
      </c>
      <c r="E430">
        <v>2271.89</v>
      </c>
      <c r="F430">
        <v>924902096</v>
      </c>
    </row>
    <row r="431" spans="1:6" ht="13" x14ac:dyDescent="0.15">
      <c r="A431" s="3">
        <v>42754</v>
      </c>
      <c r="B431">
        <v>2271.9</v>
      </c>
      <c r="C431">
        <v>2274.33</v>
      </c>
      <c r="D431">
        <v>2258.41</v>
      </c>
      <c r="E431">
        <v>2263.69</v>
      </c>
      <c r="F431">
        <v>967540951</v>
      </c>
    </row>
    <row r="432" spans="1:6" ht="13" x14ac:dyDescent="0.15">
      <c r="A432" s="3">
        <v>42755</v>
      </c>
      <c r="B432">
        <v>2269.96</v>
      </c>
      <c r="C432">
        <v>2276.96</v>
      </c>
      <c r="D432">
        <v>2265.0100000000002</v>
      </c>
      <c r="E432">
        <v>2271.31</v>
      </c>
      <c r="F432">
        <v>2311814000</v>
      </c>
    </row>
    <row r="433" spans="1:6" ht="13" x14ac:dyDescent="0.15">
      <c r="A433" s="3">
        <v>42758</v>
      </c>
      <c r="B433">
        <v>2267.7800000000002</v>
      </c>
      <c r="C433">
        <v>2271.7800000000002</v>
      </c>
      <c r="D433">
        <v>2257.02</v>
      </c>
      <c r="E433">
        <v>2265.1999999999998</v>
      </c>
      <c r="F433">
        <v>916810570</v>
      </c>
    </row>
    <row r="434" spans="1:6" ht="13" x14ac:dyDescent="0.15">
      <c r="A434" s="3">
        <v>42759</v>
      </c>
      <c r="B434">
        <v>2267.88</v>
      </c>
      <c r="C434">
        <v>2284.63</v>
      </c>
      <c r="D434">
        <v>2266.6799999999998</v>
      </c>
      <c r="E434">
        <v>2280.0700000000002</v>
      </c>
      <c r="F434">
        <v>2147415305</v>
      </c>
    </row>
    <row r="435" spans="1:6" ht="13" x14ac:dyDescent="0.15">
      <c r="A435" s="3">
        <v>42760</v>
      </c>
      <c r="B435">
        <v>2288.88</v>
      </c>
      <c r="C435">
        <v>2299.5500000000002</v>
      </c>
      <c r="D435">
        <v>2288.88</v>
      </c>
      <c r="E435">
        <v>2298.37</v>
      </c>
      <c r="F435">
        <v>2461512000</v>
      </c>
    </row>
    <row r="436" spans="1:6" ht="13" x14ac:dyDescent="0.15">
      <c r="A436" s="3">
        <v>42761</v>
      </c>
      <c r="B436">
        <v>2298.63</v>
      </c>
      <c r="C436">
        <v>2300.9899999999998</v>
      </c>
      <c r="D436">
        <v>2294.08</v>
      </c>
      <c r="E436">
        <v>2296.6799999999998</v>
      </c>
      <c r="F436">
        <v>2333681818</v>
      </c>
    </row>
    <row r="437" spans="1:6" ht="13" x14ac:dyDescent="0.15">
      <c r="A437" s="3">
        <v>42762</v>
      </c>
      <c r="B437">
        <v>2299.02</v>
      </c>
      <c r="C437">
        <v>2299.02</v>
      </c>
      <c r="D437">
        <v>2291.62</v>
      </c>
      <c r="E437">
        <v>2294.69</v>
      </c>
      <c r="F437">
        <v>925519279</v>
      </c>
    </row>
    <row r="438" spans="1:6" ht="13" x14ac:dyDescent="0.15">
      <c r="A438" s="3">
        <v>42765</v>
      </c>
      <c r="B438">
        <v>2286.0100000000002</v>
      </c>
      <c r="C438">
        <v>2286.0100000000002</v>
      </c>
      <c r="D438">
        <v>2268.04</v>
      </c>
      <c r="E438">
        <v>2280.9</v>
      </c>
      <c r="F438">
        <v>1034342001</v>
      </c>
    </row>
    <row r="439" spans="1:6" ht="13" x14ac:dyDescent="0.15">
      <c r="A439" s="3">
        <v>42766</v>
      </c>
      <c r="B439">
        <v>2274.02</v>
      </c>
      <c r="C439">
        <v>2279.09</v>
      </c>
      <c r="D439">
        <v>2267.21</v>
      </c>
      <c r="E439">
        <v>2278.87</v>
      </c>
      <c r="F439">
        <v>2555320206</v>
      </c>
    </row>
    <row r="440" spans="1:6" ht="13" x14ac:dyDescent="0.15">
      <c r="A440" s="3">
        <v>42767</v>
      </c>
      <c r="B440">
        <v>2285.59</v>
      </c>
      <c r="C440">
        <v>2289.14</v>
      </c>
      <c r="D440">
        <v>2272.44</v>
      </c>
      <c r="E440">
        <v>2279.5500000000002</v>
      </c>
      <c r="F440">
        <v>2478979663</v>
      </c>
    </row>
    <row r="441" spans="1:6" ht="13" x14ac:dyDescent="0.15">
      <c r="A441" s="3">
        <v>42768</v>
      </c>
      <c r="B441">
        <v>2276.69</v>
      </c>
      <c r="C441">
        <v>2283.9699999999998</v>
      </c>
      <c r="D441">
        <v>2271.65</v>
      </c>
      <c r="E441">
        <v>2280.85</v>
      </c>
      <c r="F441">
        <v>2321960100</v>
      </c>
    </row>
    <row r="442" spans="1:6" ht="13" x14ac:dyDescent="0.15">
      <c r="A442" s="3">
        <v>42769</v>
      </c>
      <c r="B442">
        <v>2288.54</v>
      </c>
      <c r="C442">
        <v>2298.31</v>
      </c>
      <c r="D442">
        <v>2287.88</v>
      </c>
      <c r="E442">
        <v>2297.42</v>
      </c>
      <c r="F442">
        <v>2208634271</v>
      </c>
    </row>
    <row r="443" spans="1:6" ht="13" x14ac:dyDescent="0.15">
      <c r="A443" s="3">
        <v>42772</v>
      </c>
      <c r="B443">
        <v>2294.2800000000002</v>
      </c>
      <c r="C443">
        <v>2296.1799999999998</v>
      </c>
      <c r="D443">
        <v>2288.5700000000002</v>
      </c>
      <c r="E443">
        <v>2292.56</v>
      </c>
      <c r="F443">
        <v>828798658</v>
      </c>
    </row>
    <row r="444" spans="1:6" ht="13" x14ac:dyDescent="0.15">
      <c r="A444" s="3">
        <v>42773</v>
      </c>
      <c r="B444">
        <v>2295.87</v>
      </c>
      <c r="C444">
        <v>2299.4</v>
      </c>
      <c r="D444">
        <v>2290.16</v>
      </c>
      <c r="E444">
        <v>2293.08</v>
      </c>
      <c r="F444">
        <v>1005424404</v>
      </c>
    </row>
    <row r="445" spans="1:6" ht="13" x14ac:dyDescent="0.15">
      <c r="A445" s="3">
        <v>42774</v>
      </c>
      <c r="B445">
        <v>2289.5500000000002</v>
      </c>
      <c r="C445">
        <v>2295.91</v>
      </c>
      <c r="D445">
        <v>2285.38</v>
      </c>
      <c r="E445">
        <v>2294.67</v>
      </c>
      <c r="F445">
        <v>1039738102</v>
      </c>
    </row>
    <row r="446" spans="1:6" ht="13" x14ac:dyDescent="0.15">
      <c r="A446" s="3">
        <v>42775</v>
      </c>
      <c r="B446">
        <v>2296.6999999999998</v>
      </c>
      <c r="C446">
        <v>2311.08</v>
      </c>
      <c r="D446">
        <v>2296.61</v>
      </c>
      <c r="E446">
        <v>2307.87</v>
      </c>
      <c r="F446">
        <v>1044822284</v>
      </c>
    </row>
    <row r="447" spans="1:6" ht="13" x14ac:dyDescent="0.15">
      <c r="A447" s="3">
        <v>42776</v>
      </c>
      <c r="B447">
        <v>2312.27</v>
      </c>
      <c r="C447">
        <v>2319.23</v>
      </c>
      <c r="D447">
        <v>2311.1</v>
      </c>
      <c r="E447">
        <v>2316.1</v>
      </c>
      <c r="F447">
        <v>993382797</v>
      </c>
    </row>
    <row r="448" spans="1:6" ht="13" x14ac:dyDescent="0.15">
      <c r="A448" s="3">
        <v>42779</v>
      </c>
      <c r="B448">
        <v>2321.7199999999998</v>
      </c>
      <c r="C448">
        <v>2331.58</v>
      </c>
      <c r="D448">
        <v>2321.42</v>
      </c>
      <c r="E448">
        <v>2328.25</v>
      </c>
      <c r="F448">
        <v>884994768</v>
      </c>
    </row>
    <row r="449" spans="1:6" ht="13" x14ac:dyDescent="0.15">
      <c r="A449" s="3">
        <v>42780</v>
      </c>
      <c r="B449">
        <v>2326.12</v>
      </c>
      <c r="C449">
        <v>2337.58</v>
      </c>
      <c r="D449">
        <v>2322.17</v>
      </c>
      <c r="E449">
        <v>2337.58</v>
      </c>
      <c r="F449">
        <v>2163161000</v>
      </c>
    </row>
    <row r="450" spans="1:6" ht="13" x14ac:dyDescent="0.15">
      <c r="A450" s="3">
        <v>42781</v>
      </c>
      <c r="B450">
        <v>2335.58</v>
      </c>
      <c r="C450">
        <v>2351.3000000000002</v>
      </c>
      <c r="D450">
        <v>2334.81</v>
      </c>
      <c r="E450">
        <v>2349.25</v>
      </c>
      <c r="F450">
        <v>2251620057</v>
      </c>
    </row>
    <row r="451" spans="1:6" ht="13" x14ac:dyDescent="0.15">
      <c r="A451" s="3">
        <v>42782</v>
      </c>
      <c r="B451">
        <v>2349.64</v>
      </c>
      <c r="C451">
        <v>2351.31</v>
      </c>
      <c r="D451">
        <v>2338.87</v>
      </c>
      <c r="E451">
        <v>2347.2199999999998</v>
      </c>
      <c r="F451">
        <v>1012302953</v>
      </c>
    </row>
    <row r="452" spans="1:6" ht="13" x14ac:dyDescent="0.15">
      <c r="A452" s="3">
        <v>42783</v>
      </c>
      <c r="B452">
        <v>2343.0100000000002</v>
      </c>
      <c r="C452">
        <v>2351.16</v>
      </c>
      <c r="D452">
        <v>2339.58</v>
      </c>
      <c r="E452">
        <v>2351.16</v>
      </c>
      <c r="F452">
        <v>1045689889</v>
      </c>
    </row>
    <row r="453" spans="1:6" ht="13" x14ac:dyDescent="0.15">
      <c r="A453" s="3">
        <v>42787</v>
      </c>
      <c r="B453">
        <v>2354.91</v>
      </c>
      <c r="C453">
        <v>2366.71</v>
      </c>
      <c r="D453">
        <v>2354.91</v>
      </c>
      <c r="E453">
        <v>2365.38</v>
      </c>
      <c r="F453">
        <v>1034890289</v>
      </c>
    </row>
    <row r="454" spans="1:6" ht="13" x14ac:dyDescent="0.15">
      <c r="A454" s="3">
        <v>42788</v>
      </c>
      <c r="B454">
        <v>2361.11</v>
      </c>
      <c r="C454">
        <v>2365.13</v>
      </c>
      <c r="D454">
        <v>2358.34</v>
      </c>
      <c r="E454">
        <v>2362.8200000000002</v>
      </c>
      <c r="F454">
        <v>880108485</v>
      </c>
    </row>
    <row r="455" spans="1:6" ht="13" x14ac:dyDescent="0.15">
      <c r="A455" s="3">
        <v>42789</v>
      </c>
      <c r="B455">
        <v>2367.5</v>
      </c>
      <c r="C455">
        <v>2368.2600000000002</v>
      </c>
      <c r="D455">
        <v>2355.09</v>
      </c>
      <c r="E455">
        <v>2363.81</v>
      </c>
      <c r="F455">
        <v>2200797996</v>
      </c>
    </row>
    <row r="456" spans="1:6" ht="13" x14ac:dyDescent="0.15">
      <c r="A456" s="3">
        <v>42790</v>
      </c>
      <c r="B456">
        <v>2355.73</v>
      </c>
      <c r="C456">
        <v>2367.34</v>
      </c>
      <c r="D456">
        <v>2352.87</v>
      </c>
      <c r="E456">
        <v>2367.34</v>
      </c>
      <c r="F456">
        <v>2190395580</v>
      </c>
    </row>
    <row r="457" spans="1:6" ht="13" x14ac:dyDescent="0.15">
      <c r="A457" s="3">
        <v>42793</v>
      </c>
      <c r="B457">
        <v>2365.23</v>
      </c>
      <c r="C457">
        <v>2371.54</v>
      </c>
      <c r="D457">
        <v>2361.87</v>
      </c>
      <c r="E457">
        <v>2369.75</v>
      </c>
      <c r="F457">
        <v>807561788</v>
      </c>
    </row>
    <row r="458" spans="1:6" ht="13" x14ac:dyDescent="0.15">
      <c r="A458" s="3">
        <v>42794</v>
      </c>
      <c r="B458">
        <v>2366.08</v>
      </c>
      <c r="C458">
        <v>2367.79</v>
      </c>
      <c r="D458">
        <v>2358.96</v>
      </c>
      <c r="E458">
        <v>2363.64</v>
      </c>
      <c r="F458">
        <v>2538169000</v>
      </c>
    </row>
    <row r="459" spans="1:6" ht="13" x14ac:dyDescent="0.15">
      <c r="A459" s="3">
        <v>42795</v>
      </c>
      <c r="B459">
        <v>2380.13</v>
      </c>
      <c r="C459">
        <v>2400.98</v>
      </c>
      <c r="D459">
        <v>2380.13</v>
      </c>
      <c r="E459">
        <v>2395.96</v>
      </c>
      <c r="F459">
        <v>2575918105</v>
      </c>
    </row>
    <row r="460" spans="1:6" ht="13" x14ac:dyDescent="0.15">
      <c r="A460" s="3">
        <v>42796</v>
      </c>
      <c r="B460">
        <v>2394.75</v>
      </c>
      <c r="C460">
        <v>2394.75</v>
      </c>
      <c r="D460">
        <v>2380.17</v>
      </c>
      <c r="E460">
        <v>2381.92</v>
      </c>
      <c r="F460">
        <v>1046806171</v>
      </c>
    </row>
    <row r="461" spans="1:6" ht="13" x14ac:dyDescent="0.15">
      <c r="A461" s="3">
        <v>42797</v>
      </c>
      <c r="B461">
        <v>2380.92</v>
      </c>
      <c r="C461">
        <v>2383.89</v>
      </c>
      <c r="D461">
        <v>2375.39</v>
      </c>
      <c r="E461">
        <v>2383.12</v>
      </c>
      <c r="F461">
        <v>759171544</v>
      </c>
    </row>
    <row r="462" spans="1:6" ht="13" x14ac:dyDescent="0.15">
      <c r="A462" s="3">
        <v>42800</v>
      </c>
      <c r="B462">
        <v>2375.23</v>
      </c>
      <c r="C462">
        <v>2378.8000000000002</v>
      </c>
      <c r="D462">
        <v>2367.98</v>
      </c>
      <c r="E462">
        <v>2375.31</v>
      </c>
      <c r="F462">
        <v>815247188</v>
      </c>
    </row>
    <row r="463" spans="1:6" ht="13" x14ac:dyDescent="0.15">
      <c r="A463" s="3">
        <v>42801</v>
      </c>
      <c r="B463">
        <v>2370.7399999999998</v>
      </c>
      <c r="C463">
        <v>2375.12</v>
      </c>
      <c r="D463">
        <v>2365.5100000000002</v>
      </c>
      <c r="E463">
        <v>2368.39</v>
      </c>
      <c r="F463">
        <v>839221691</v>
      </c>
    </row>
    <row r="464" spans="1:6" ht="13" x14ac:dyDescent="0.15">
      <c r="A464" s="3">
        <v>42802</v>
      </c>
      <c r="B464">
        <v>2369.81</v>
      </c>
      <c r="C464">
        <v>2373.09</v>
      </c>
      <c r="D464">
        <v>2361.0100000000002</v>
      </c>
      <c r="E464">
        <v>2362.98</v>
      </c>
      <c r="F464">
        <v>1011764443</v>
      </c>
    </row>
    <row r="465" spans="1:6" ht="13" x14ac:dyDescent="0.15">
      <c r="A465" s="3">
        <v>42803</v>
      </c>
      <c r="B465">
        <v>2363.4899999999998</v>
      </c>
      <c r="C465">
        <v>2369.08</v>
      </c>
      <c r="D465">
        <v>2354.54</v>
      </c>
      <c r="E465">
        <v>2364.87</v>
      </c>
      <c r="F465">
        <v>945423548</v>
      </c>
    </row>
    <row r="466" spans="1:6" ht="13" x14ac:dyDescent="0.15">
      <c r="A466" s="3">
        <v>42804</v>
      </c>
      <c r="B466">
        <v>2372.52</v>
      </c>
      <c r="C466">
        <v>2376.86</v>
      </c>
      <c r="D466">
        <v>2363.04</v>
      </c>
      <c r="E466">
        <v>2372.6</v>
      </c>
      <c r="F466">
        <v>944187975</v>
      </c>
    </row>
    <row r="467" spans="1:6" ht="13" x14ac:dyDescent="0.15">
      <c r="A467" s="3">
        <v>42807</v>
      </c>
      <c r="B467">
        <v>2371.56</v>
      </c>
      <c r="C467">
        <v>2374.42</v>
      </c>
      <c r="D467">
        <v>2368.52</v>
      </c>
      <c r="E467">
        <v>2373.4699999999998</v>
      </c>
      <c r="F467">
        <v>748522349</v>
      </c>
    </row>
    <row r="468" spans="1:6" ht="13" x14ac:dyDescent="0.15">
      <c r="A468" s="3">
        <v>42808</v>
      </c>
      <c r="B468">
        <v>2368.5500000000002</v>
      </c>
      <c r="C468">
        <v>2368.5500000000002</v>
      </c>
      <c r="D468">
        <v>2358.1799999999998</v>
      </c>
      <c r="E468">
        <v>2365.4499999999998</v>
      </c>
      <c r="F468">
        <v>611348401</v>
      </c>
    </row>
    <row r="469" spans="1:6" ht="13" x14ac:dyDescent="0.15">
      <c r="A469" s="3">
        <v>42809</v>
      </c>
      <c r="B469">
        <v>2370.34</v>
      </c>
      <c r="C469">
        <v>2390.0100000000002</v>
      </c>
      <c r="D469">
        <v>2368.94</v>
      </c>
      <c r="E469">
        <v>2385.2600000000002</v>
      </c>
      <c r="F469">
        <v>1051135929</v>
      </c>
    </row>
    <row r="470" spans="1:6" ht="13" x14ac:dyDescent="0.15">
      <c r="A470" s="3">
        <v>42810</v>
      </c>
      <c r="B470">
        <v>2387.71</v>
      </c>
      <c r="C470">
        <v>2388.1</v>
      </c>
      <c r="D470">
        <v>2377.1799999999998</v>
      </c>
      <c r="E470">
        <v>2381.38</v>
      </c>
      <c r="F470">
        <v>804297342</v>
      </c>
    </row>
    <row r="471" spans="1:6" ht="13" x14ac:dyDescent="0.15">
      <c r="A471" s="3">
        <v>42811</v>
      </c>
      <c r="B471">
        <v>2383.71</v>
      </c>
      <c r="C471">
        <v>2385.71</v>
      </c>
      <c r="D471">
        <v>2377.64</v>
      </c>
      <c r="E471">
        <v>2378.25</v>
      </c>
      <c r="F471">
        <v>3398204726</v>
      </c>
    </row>
    <row r="472" spans="1:6" ht="13" x14ac:dyDescent="0.15">
      <c r="A472" s="3">
        <v>42814</v>
      </c>
      <c r="B472">
        <v>2378.2399999999998</v>
      </c>
      <c r="C472">
        <v>2379.5500000000002</v>
      </c>
      <c r="D472">
        <v>2369.66</v>
      </c>
      <c r="E472">
        <v>2373.4699999999998</v>
      </c>
      <c r="F472">
        <v>748721673</v>
      </c>
    </row>
    <row r="473" spans="1:6" ht="13" x14ac:dyDescent="0.15">
      <c r="A473" s="3">
        <v>42815</v>
      </c>
      <c r="B473">
        <v>2379.3200000000002</v>
      </c>
      <c r="C473">
        <v>2381.9299999999998</v>
      </c>
      <c r="D473">
        <v>2341.9</v>
      </c>
      <c r="E473">
        <v>2344.02</v>
      </c>
      <c r="F473">
        <v>2637087666</v>
      </c>
    </row>
    <row r="474" spans="1:6" ht="13" x14ac:dyDescent="0.15">
      <c r="A474" s="3">
        <v>42816</v>
      </c>
      <c r="B474">
        <v>2343</v>
      </c>
      <c r="C474">
        <v>2351.81</v>
      </c>
      <c r="D474">
        <v>2336.4499999999998</v>
      </c>
      <c r="E474">
        <v>2348.4499999999998</v>
      </c>
      <c r="F474">
        <v>1064812901</v>
      </c>
    </row>
    <row r="475" spans="1:6" ht="13" x14ac:dyDescent="0.15">
      <c r="A475" s="3">
        <v>42817</v>
      </c>
      <c r="B475">
        <v>2345.9699999999998</v>
      </c>
      <c r="C475">
        <v>2358.92</v>
      </c>
      <c r="D475">
        <v>2342.13</v>
      </c>
      <c r="E475">
        <v>2345.96</v>
      </c>
      <c r="F475">
        <v>844974813</v>
      </c>
    </row>
    <row r="476" spans="1:6" ht="13" x14ac:dyDescent="0.15">
      <c r="A476" s="3">
        <v>42818</v>
      </c>
      <c r="B476">
        <v>2350.42</v>
      </c>
      <c r="C476">
        <v>2356.2199999999998</v>
      </c>
      <c r="D476">
        <v>2335.7399999999998</v>
      </c>
      <c r="E476">
        <v>2343.98</v>
      </c>
      <c r="F476">
        <v>846511854</v>
      </c>
    </row>
    <row r="477" spans="1:6" ht="13" x14ac:dyDescent="0.15">
      <c r="A477" s="3">
        <v>42821</v>
      </c>
      <c r="B477">
        <v>2329.11</v>
      </c>
      <c r="C477">
        <v>2344.9</v>
      </c>
      <c r="D477">
        <v>2322.25</v>
      </c>
      <c r="E477">
        <v>2341.59</v>
      </c>
      <c r="F477">
        <v>858018011</v>
      </c>
    </row>
    <row r="478" spans="1:6" ht="13" x14ac:dyDescent="0.15">
      <c r="A478" s="3">
        <v>42822</v>
      </c>
      <c r="B478">
        <v>2339.79</v>
      </c>
      <c r="C478">
        <v>2363.7800000000002</v>
      </c>
      <c r="D478">
        <v>2337.63</v>
      </c>
      <c r="E478">
        <v>2358.5700000000002</v>
      </c>
      <c r="F478">
        <v>877571724</v>
      </c>
    </row>
    <row r="479" spans="1:6" ht="13" x14ac:dyDescent="0.15">
      <c r="A479" s="3">
        <v>42823</v>
      </c>
      <c r="B479">
        <v>2356.54</v>
      </c>
      <c r="C479">
        <v>2363.36</v>
      </c>
      <c r="D479">
        <v>2352.94</v>
      </c>
      <c r="E479">
        <v>2361.13</v>
      </c>
      <c r="F479">
        <v>660401033</v>
      </c>
    </row>
    <row r="480" spans="1:6" ht="13" x14ac:dyDescent="0.15">
      <c r="A480" s="3">
        <v>42824</v>
      </c>
      <c r="B480">
        <v>2361.31</v>
      </c>
      <c r="C480">
        <v>2370.42</v>
      </c>
      <c r="D480">
        <v>2358.58</v>
      </c>
      <c r="E480">
        <v>2368.06</v>
      </c>
      <c r="F480">
        <v>775154439</v>
      </c>
    </row>
    <row r="481" spans="1:6" ht="13" x14ac:dyDescent="0.15">
      <c r="A481" s="3">
        <v>42825</v>
      </c>
      <c r="B481">
        <v>2364.8200000000002</v>
      </c>
      <c r="C481">
        <v>2370.35</v>
      </c>
      <c r="D481">
        <v>2362.6</v>
      </c>
      <c r="E481">
        <v>2362.7199999999998</v>
      </c>
      <c r="F481">
        <v>923302112</v>
      </c>
    </row>
    <row r="482" spans="1:6" ht="13" x14ac:dyDescent="0.15">
      <c r="A482" s="3">
        <v>42828</v>
      </c>
      <c r="B482">
        <v>2362.34</v>
      </c>
      <c r="C482">
        <v>2365.87</v>
      </c>
      <c r="D482">
        <v>2344.73</v>
      </c>
      <c r="E482">
        <v>2358.84</v>
      </c>
      <c r="F482">
        <v>2182258164</v>
      </c>
    </row>
    <row r="483" spans="1:6" ht="13" x14ac:dyDescent="0.15">
      <c r="A483" s="3">
        <v>42829</v>
      </c>
      <c r="B483">
        <v>2354.7600000000002</v>
      </c>
      <c r="C483">
        <v>2360.5300000000002</v>
      </c>
      <c r="D483">
        <v>2350.7199999999998</v>
      </c>
      <c r="E483">
        <v>2360.16</v>
      </c>
      <c r="F483">
        <v>746663640</v>
      </c>
    </row>
    <row r="484" spans="1:6" ht="13" x14ac:dyDescent="0.15">
      <c r="A484" s="3">
        <v>42830</v>
      </c>
      <c r="B484">
        <v>2366.59</v>
      </c>
      <c r="C484">
        <v>2378.36</v>
      </c>
      <c r="D484">
        <v>2350.52</v>
      </c>
      <c r="E484">
        <v>2352.9499999999998</v>
      </c>
      <c r="F484">
        <v>1031056095</v>
      </c>
    </row>
    <row r="485" spans="1:6" ht="13" x14ac:dyDescent="0.15">
      <c r="A485" s="3">
        <v>42831</v>
      </c>
      <c r="B485">
        <v>2353.79</v>
      </c>
      <c r="C485">
        <v>2364.16</v>
      </c>
      <c r="D485">
        <v>2348.9</v>
      </c>
      <c r="E485">
        <v>2357.4899999999998</v>
      </c>
      <c r="F485">
        <v>863231831</v>
      </c>
    </row>
    <row r="486" spans="1:6" ht="13" x14ac:dyDescent="0.15">
      <c r="A486" s="3">
        <v>42832</v>
      </c>
      <c r="B486">
        <v>2356.59</v>
      </c>
      <c r="C486">
        <v>2363.7600000000002</v>
      </c>
      <c r="D486">
        <v>2350.7399999999998</v>
      </c>
      <c r="E486">
        <v>2355.54</v>
      </c>
      <c r="F486">
        <v>656990521</v>
      </c>
    </row>
    <row r="487" spans="1:6" ht="13" x14ac:dyDescent="0.15">
      <c r="A487" s="3">
        <v>42835</v>
      </c>
      <c r="B487">
        <v>2357.16</v>
      </c>
      <c r="C487">
        <v>2366.37</v>
      </c>
      <c r="D487">
        <v>2351.5</v>
      </c>
      <c r="E487">
        <v>2357.16</v>
      </c>
      <c r="F487">
        <v>546587089</v>
      </c>
    </row>
    <row r="488" spans="1:6" ht="13" x14ac:dyDescent="0.15">
      <c r="A488" s="3">
        <v>42836</v>
      </c>
      <c r="B488">
        <v>2353.92</v>
      </c>
      <c r="C488">
        <v>2355.2199999999998</v>
      </c>
      <c r="D488">
        <v>2337.25</v>
      </c>
      <c r="E488">
        <v>2353.7800000000002</v>
      </c>
      <c r="F488">
        <v>743787790</v>
      </c>
    </row>
    <row r="489" spans="1:6" ht="13" x14ac:dyDescent="0.15">
      <c r="A489" s="3">
        <v>42837</v>
      </c>
      <c r="B489">
        <v>2352.15</v>
      </c>
      <c r="C489">
        <v>2352.7199999999998</v>
      </c>
      <c r="D489">
        <v>2341.1799999999998</v>
      </c>
      <c r="E489">
        <v>2344.9299999999998</v>
      </c>
      <c r="F489">
        <v>824168461</v>
      </c>
    </row>
    <row r="490" spans="1:6" ht="13" x14ac:dyDescent="0.15">
      <c r="A490" s="3">
        <v>42838</v>
      </c>
      <c r="B490">
        <v>2341.98</v>
      </c>
      <c r="C490">
        <v>2348.2600000000002</v>
      </c>
      <c r="D490">
        <v>2328.9499999999998</v>
      </c>
      <c r="E490">
        <v>2328.9499999999998</v>
      </c>
      <c r="F490">
        <v>691005538</v>
      </c>
    </row>
    <row r="491" spans="1:6" ht="13" x14ac:dyDescent="0.15">
      <c r="A491" s="3">
        <v>42842</v>
      </c>
      <c r="B491">
        <v>2332.62</v>
      </c>
      <c r="C491">
        <v>2349.14</v>
      </c>
      <c r="D491">
        <v>2332.5100000000002</v>
      </c>
      <c r="E491">
        <v>2349.0100000000002</v>
      </c>
      <c r="F491">
        <v>552521898</v>
      </c>
    </row>
    <row r="492" spans="1:6" ht="13" x14ac:dyDescent="0.15">
      <c r="A492" s="3">
        <v>42843</v>
      </c>
      <c r="B492">
        <v>2342.5300000000002</v>
      </c>
      <c r="C492">
        <v>2348.35</v>
      </c>
      <c r="D492">
        <v>2334.54</v>
      </c>
      <c r="E492">
        <v>2342.19</v>
      </c>
      <c r="F492">
        <v>829728921</v>
      </c>
    </row>
    <row r="493" spans="1:6" ht="13" x14ac:dyDescent="0.15">
      <c r="A493" s="3">
        <v>42844</v>
      </c>
      <c r="B493">
        <v>2346.79</v>
      </c>
      <c r="C493">
        <v>2352.63</v>
      </c>
      <c r="D493">
        <v>2335.0500000000002</v>
      </c>
      <c r="E493">
        <v>2338.17</v>
      </c>
      <c r="F493">
        <v>873090926</v>
      </c>
    </row>
    <row r="494" spans="1:6" ht="13" x14ac:dyDescent="0.15">
      <c r="A494" s="3">
        <v>42845</v>
      </c>
      <c r="B494">
        <v>2342.69</v>
      </c>
      <c r="C494">
        <v>2361.37</v>
      </c>
      <c r="D494">
        <v>2340.91</v>
      </c>
      <c r="E494">
        <v>2355.84</v>
      </c>
      <c r="F494">
        <v>1015974407</v>
      </c>
    </row>
    <row r="495" spans="1:6" ht="13" x14ac:dyDescent="0.15">
      <c r="A495" s="3">
        <v>42846</v>
      </c>
      <c r="B495">
        <v>2354.7399999999998</v>
      </c>
      <c r="C495">
        <v>2356.1799999999998</v>
      </c>
      <c r="D495">
        <v>2344.5100000000002</v>
      </c>
      <c r="E495">
        <v>2348.69</v>
      </c>
      <c r="F495">
        <v>2071759000</v>
      </c>
    </row>
    <row r="496" spans="1:6" ht="13" x14ac:dyDescent="0.15">
      <c r="A496" s="3">
        <v>42849</v>
      </c>
      <c r="B496">
        <v>2370.33</v>
      </c>
      <c r="C496">
        <v>2376.98</v>
      </c>
      <c r="D496">
        <v>2369.19</v>
      </c>
      <c r="E496">
        <v>2374.15</v>
      </c>
      <c r="F496">
        <v>2248662130</v>
      </c>
    </row>
    <row r="497" spans="1:6" ht="13" x14ac:dyDescent="0.15">
      <c r="A497" s="3">
        <v>42850</v>
      </c>
      <c r="B497">
        <v>2381.5100000000002</v>
      </c>
      <c r="C497">
        <v>2392.48</v>
      </c>
      <c r="D497">
        <v>2381.15</v>
      </c>
      <c r="E497">
        <v>2388.61</v>
      </c>
      <c r="F497">
        <v>2304916837</v>
      </c>
    </row>
    <row r="498" spans="1:6" ht="13" x14ac:dyDescent="0.15">
      <c r="A498" s="3">
        <v>42851</v>
      </c>
      <c r="B498">
        <v>2388.98</v>
      </c>
      <c r="C498">
        <v>2398.16</v>
      </c>
      <c r="D498">
        <v>2386.7600000000002</v>
      </c>
      <c r="E498">
        <v>2387.4499999999998</v>
      </c>
      <c r="F498">
        <v>2223615893</v>
      </c>
    </row>
    <row r="499" spans="1:6" ht="13" x14ac:dyDescent="0.15">
      <c r="A499" s="3">
        <v>42852</v>
      </c>
      <c r="B499">
        <v>2389.6999999999998</v>
      </c>
      <c r="C499">
        <v>2392.1</v>
      </c>
      <c r="D499">
        <v>2382.6799999999998</v>
      </c>
      <c r="E499">
        <v>2388.77</v>
      </c>
      <c r="F499">
        <v>2205559179</v>
      </c>
    </row>
    <row r="500" spans="1:6" ht="13" x14ac:dyDescent="0.15">
      <c r="A500" s="3">
        <v>42853</v>
      </c>
      <c r="B500">
        <v>2393.6799999999998</v>
      </c>
      <c r="C500">
        <v>2393.6799999999998</v>
      </c>
      <c r="D500">
        <v>2382.36</v>
      </c>
      <c r="E500">
        <v>2384.1999999999998</v>
      </c>
      <c r="F500">
        <v>2239464723</v>
      </c>
    </row>
    <row r="501" spans="1:6" ht="13" x14ac:dyDescent="0.15">
      <c r="A501" s="3">
        <v>42856</v>
      </c>
      <c r="B501">
        <v>2388.5</v>
      </c>
      <c r="C501">
        <v>2394.4899999999998</v>
      </c>
      <c r="D501">
        <v>2384.83</v>
      </c>
      <c r="E501">
        <v>2388.33</v>
      </c>
      <c r="F501">
        <v>819261658</v>
      </c>
    </row>
    <row r="502" spans="1:6" ht="13" x14ac:dyDescent="0.15">
      <c r="A502" s="3">
        <v>42857</v>
      </c>
      <c r="B502">
        <v>2391.0500000000002</v>
      </c>
      <c r="C502">
        <v>2392.9299999999998</v>
      </c>
      <c r="D502">
        <v>2385.8200000000002</v>
      </c>
      <c r="E502">
        <v>2391.17</v>
      </c>
      <c r="F502">
        <v>2371688652</v>
      </c>
    </row>
    <row r="503" spans="1:6" ht="13" x14ac:dyDescent="0.15">
      <c r="A503" s="3">
        <v>42858</v>
      </c>
      <c r="B503">
        <v>2386.5</v>
      </c>
      <c r="C503">
        <v>2389.8200000000002</v>
      </c>
      <c r="D503">
        <v>2379.75</v>
      </c>
      <c r="E503">
        <v>2388.13</v>
      </c>
      <c r="F503">
        <v>2270224276</v>
      </c>
    </row>
    <row r="504" spans="1:6" ht="13" x14ac:dyDescent="0.15">
      <c r="A504" s="3">
        <v>42859</v>
      </c>
      <c r="B504">
        <v>2389.79</v>
      </c>
      <c r="C504">
        <v>2391.4299999999998</v>
      </c>
      <c r="D504">
        <v>2380.35</v>
      </c>
      <c r="E504">
        <v>2389.52</v>
      </c>
      <c r="F504">
        <v>2236620277</v>
      </c>
    </row>
    <row r="505" spans="1:6" ht="13" x14ac:dyDescent="0.15">
      <c r="A505" s="3">
        <v>42860</v>
      </c>
      <c r="B505">
        <v>2392.37</v>
      </c>
      <c r="C505">
        <v>2399.29</v>
      </c>
      <c r="D505">
        <v>2389.38</v>
      </c>
      <c r="E505">
        <v>2399.29</v>
      </c>
      <c r="F505">
        <v>750048053</v>
      </c>
    </row>
    <row r="506" spans="1:6" ht="13" x14ac:dyDescent="0.15">
      <c r="A506" s="3">
        <v>42863</v>
      </c>
      <c r="B506">
        <v>2399.94</v>
      </c>
      <c r="C506">
        <v>2401.36</v>
      </c>
      <c r="D506">
        <v>2393.92</v>
      </c>
      <c r="E506">
        <v>2399.38</v>
      </c>
      <c r="F506">
        <v>1845375125</v>
      </c>
    </row>
    <row r="507" spans="1:6" ht="13" x14ac:dyDescent="0.15">
      <c r="A507" s="3">
        <v>42864</v>
      </c>
      <c r="B507">
        <v>2401.58</v>
      </c>
      <c r="C507">
        <v>2403.87</v>
      </c>
      <c r="D507">
        <v>2392.44</v>
      </c>
      <c r="E507">
        <v>2396.92</v>
      </c>
      <c r="F507">
        <v>1855962757</v>
      </c>
    </row>
    <row r="508" spans="1:6" ht="13" x14ac:dyDescent="0.15">
      <c r="A508" s="3">
        <v>42865</v>
      </c>
      <c r="B508">
        <v>2396.79</v>
      </c>
      <c r="C508">
        <v>2399.7399999999998</v>
      </c>
      <c r="D508">
        <v>2392.79</v>
      </c>
      <c r="E508">
        <v>2399.63</v>
      </c>
      <c r="F508">
        <v>1985193441</v>
      </c>
    </row>
    <row r="509" spans="1:6" ht="13" x14ac:dyDescent="0.15">
      <c r="A509" s="3">
        <v>42866</v>
      </c>
      <c r="B509">
        <v>2394.84</v>
      </c>
      <c r="C509">
        <v>2395.7199999999998</v>
      </c>
      <c r="D509">
        <v>2381.7399999999998</v>
      </c>
      <c r="E509">
        <v>2394.44</v>
      </c>
      <c r="F509">
        <v>2024699568</v>
      </c>
    </row>
    <row r="510" spans="1:6" ht="13" x14ac:dyDescent="0.15">
      <c r="A510" s="3">
        <v>42867</v>
      </c>
      <c r="B510">
        <v>2392.44</v>
      </c>
      <c r="C510">
        <v>2392.44</v>
      </c>
      <c r="D510">
        <v>2387.19</v>
      </c>
      <c r="E510">
        <v>2390.9</v>
      </c>
      <c r="F510">
        <v>1786639028</v>
      </c>
    </row>
    <row r="511" spans="1:6" ht="13" x14ac:dyDescent="0.15">
      <c r="A511" s="3">
        <v>42870</v>
      </c>
      <c r="B511">
        <v>2393.98</v>
      </c>
      <c r="C511">
        <v>2404.0500000000002</v>
      </c>
      <c r="D511">
        <v>2393.94</v>
      </c>
      <c r="E511">
        <v>2402.3200000000002</v>
      </c>
      <c r="F511">
        <v>1896371278</v>
      </c>
    </row>
    <row r="512" spans="1:6" ht="13" x14ac:dyDescent="0.15">
      <c r="A512" s="3">
        <v>42871</v>
      </c>
      <c r="B512">
        <v>2404.5500000000002</v>
      </c>
      <c r="C512">
        <v>2405.77</v>
      </c>
      <c r="D512">
        <v>2396.0500000000002</v>
      </c>
      <c r="E512">
        <v>2400.67</v>
      </c>
      <c r="F512">
        <v>2039120191</v>
      </c>
    </row>
    <row r="513" spans="1:6" ht="13" x14ac:dyDescent="0.15">
      <c r="A513" s="3">
        <v>42872</v>
      </c>
      <c r="B513">
        <v>2382.9499999999998</v>
      </c>
      <c r="C513">
        <v>2384.87</v>
      </c>
      <c r="D513">
        <v>2356.21</v>
      </c>
      <c r="E513">
        <v>2357.0300000000002</v>
      </c>
      <c r="F513">
        <v>2717638993</v>
      </c>
    </row>
    <row r="514" spans="1:6" ht="13" x14ac:dyDescent="0.15">
      <c r="A514" s="3">
        <v>42873</v>
      </c>
      <c r="B514">
        <v>2354.69</v>
      </c>
      <c r="C514">
        <v>2375.7399999999998</v>
      </c>
      <c r="D514">
        <v>2352.7199999999998</v>
      </c>
      <c r="E514">
        <v>2365.7199999999998</v>
      </c>
      <c r="F514">
        <v>2308543266</v>
      </c>
    </row>
    <row r="515" spans="1:6" ht="13" x14ac:dyDescent="0.15">
      <c r="A515" s="3">
        <v>42874</v>
      </c>
      <c r="B515">
        <v>2371.37</v>
      </c>
      <c r="C515">
        <v>2389.06</v>
      </c>
      <c r="D515">
        <v>2370.4299999999998</v>
      </c>
      <c r="E515">
        <v>2381.73</v>
      </c>
      <c r="F515">
        <v>2249727653</v>
      </c>
    </row>
    <row r="516" spans="1:6" ht="13" x14ac:dyDescent="0.15">
      <c r="A516" s="3">
        <v>42877</v>
      </c>
      <c r="B516">
        <v>2387.21</v>
      </c>
      <c r="C516">
        <v>2395.46</v>
      </c>
      <c r="D516">
        <v>2386.92</v>
      </c>
      <c r="E516">
        <v>2394.02</v>
      </c>
      <c r="F516">
        <v>1858438550</v>
      </c>
    </row>
    <row r="517" spans="1:6" ht="13" x14ac:dyDescent="0.15">
      <c r="A517" s="3">
        <v>42878</v>
      </c>
      <c r="B517">
        <v>2397.04</v>
      </c>
      <c r="C517">
        <v>2400.85</v>
      </c>
      <c r="D517">
        <v>2393.88</v>
      </c>
      <c r="E517">
        <v>2398.42</v>
      </c>
      <c r="F517">
        <v>1770956038</v>
      </c>
    </row>
    <row r="518" spans="1:6" ht="13" x14ac:dyDescent="0.15">
      <c r="A518" s="3">
        <v>42879</v>
      </c>
      <c r="B518">
        <v>2401.41</v>
      </c>
      <c r="C518">
        <v>2405.58</v>
      </c>
      <c r="D518">
        <v>2397.9899999999998</v>
      </c>
      <c r="E518">
        <v>2404.39</v>
      </c>
      <c r="F518">
        <v>1797590258</v>
      </c>
    </row>
    <row r="519" spans="1:6" ht="13" x14ac:dyDescent="0.15">
      <c r="A519" s="3">
        <v>42880</v>
      </c>
      <c r="B519">
        <v>2409.54</v>
      </c>
      <c r="C519">
        <v>2418.71</v>
      </c>
      <c r="D519">
        <v>2408.0100000000002</v>
      </c>
      <c r="E519">
        <v>2415.0700000000002</v>
      </c>
      <c r="F519">
        <v>2010590494</v>
      </c>
    </row>
    <row r="520" spans="1:6" ht="13" x14ac:dyDescent="0.15">
      <c r="A520" s="3">
        <v>42881</v>
      </c>
      <c r="B520">
        <v>2414.5</v>
      </c>
      <c r="C520">
        <v>2416.6799999999998</v>
      </c>
      <c r="D520">
        <v>2412.1999999999998</v>
      </c>
      <c r="E520">
        <v>2415.8200000000002</v>
      </c>
      <c r="F520">
        <v>1524512471</v>
      </c>
    </row>
    <row r="521" spans="1:6" ht="13" x14ac:dyDescent="0.15">
      <c r="A521" s="3">
        <v>42885</v>
      </c>
      <c r="B521">
        <v>2411.67</v>
      </c>
      <c r="C521">
        <v>2415.2600000000002</v>
      </c>
      <c r="D521">
        <v>2409.4299999999998</v>
      </c>
      <c r="E521">
        <v>2412.91</v>
      </c>
      <c r="F521">
        <v>1776698945</v>
      </c>
    </row>
    <row r="522" spans="1:6" ht="13" x14ac:dyDescent="0.15">
      <c r="A522" s="3">
        <v>42886</v>
      </c>
      <c r="B522">
        <v>2415.63</v>
      </c>
      <c r="C522">
        <v>2415.9899999999998</v>
      </c>
      <c r="D522">
        <v>2403.59</v>
      </c>
      <c r="E522">
        <v>2411.8000000000002</v>
      </c>
      <c r="F522">
        <v>2610801638</v>
      </c>
    </row>
    <row r="523" spans="1:6" ht="13" x14ac:dyDescent="0.15">
      <c r="A523" s="3">
        <v>42887</v>
      </c>
      <c r="B523">
        <v>2415.65</v>
      </c>
      <c r="C523">
        <v>2430.06</v>
      </c>
      <c r="D523">
        <v>2413.54</v>
      </c>
      <c r="E523">
        <v>2430.06</v>
      </c>
      <c r="F523">
        <v>2156064796</v>
      </c>
    </row>
    <row r="524" spans="1:6" ht="13" x14ac:dyDescent="0.15">
      <c r="A524" s="3">
        <v>42888</v>
      </c>
      <c r="B524">
        <v>2431.2800000000002</v>
      </c>
      <c r="C524">
        <v>2440.23</v>
      </c>
      <c r="D524">
        <v>2427.71</v>
      </c>
      <c r="E524">
        <v>2439.0700000000002</v>
      </c>
      <c r="F524">
        <v>2017388178</v>
      </c>
    </row>
    <row r="525" spans="1:6" ht="13" x14ac:dyDescent="0.15">
      <c r="A525" s="3">
        <v>42891</v>
      </c>
      <c r="B525">
        <v>2437.83</v>
      </c>
      <c r="C525">
        <v>2439.5500000000002</v>
      </c>
      <c r="D525">
        <v>2434.3200000000002</v>
      </c>
      <c r="E525">
        <v>2436.1</v>
      </c>
      <c r="F525">
        <v>1742362529</v>
      </c>
    </row>
    <row r="526" spans="1:6" ht="13" x14ac:dyDescent="0.15">
      <c r="A526" s="3">
        <v>42892</v>
      </c>
      <c r="B526">
        <v>2431.92</v>
      </c>
      <c r="C526">
        <v>2436.21</v>
      </c>
      <c r="D526">
        <v>2428.12</v>
      </c>
      <c r="E526">
        <v>2429.33</v>
      </c>
      <c r="F526">
        <v>1972388344</v>
      </c>
    </row>
    <row r="527" spans="1:6" ht="13" x14ac:dyDescent="0.15">
      <c r="A527" s="3">
        <v>42893</v>
      </c>
      <c r="B527">
        <v>2432.0300000000002</v>
      </c>
      <c r="C527">
        <v>2435.2800000000002</v>
      </c>
      <c r="D527">
        <v>2424.75</v>
      </c>
      <c r="E527">
        <v>2433.14</v>
      </c>
      <c r="F527">
        <v>2087405916</v>
      </c>
    </row>
    <row r="528" spans="1:6" ht="13" x14ac:dyDescent="0.15">
      <c r="A528" s="3">
        <v>42894</v>
      </c>
      <c r="B528">
        <v>2434.27</v>
      </c>
      <c r="C528">
        <v>2439.27</v>
      </c>
      <c r="D528">
        <v>2427.94</v>
      </c>
      <c r="E528">
        <v>2433.79</v>
      </c>
      <c r="F528">
        <v>2247662987</v>
      </c>
    </row>
    <row r="529" spans="1:6" ht="13" x14ac:dyDescent="0.15">
      <c r="A529" s="3">
        <v>42895</v>
      </c>
      <c r="B529">
        <v>2436.39</v>
      </c>
      <c r="C529">
        <v>2446.1999999999998</v>
      </c>
      <c r="D529">
        <v>2415.6999999999998</v>
      </c>
      <c r="E529">
        <v>2431.77</v>
      </c>
      <c r="F529">
        <v>2624857734</v>
      </c>
    </row>
    <row r="530" spans="1:6" ht="13" x14ac:dyDescent="0.15">
      <c r="A530" s="3">
        <v>42898</v>
      </c>
      <c r="B530">
        <v>2425.88</v>
      </c>
      <c r="C530">
        <v>2430.38</v>
      </c>
      <c r="D530">
        <v>2419.9699999999998</v>
      </c>
      <c r="E530">
        <v>2429.39</v>
      </c>
      <c r="F530">
        <v>2715835496</v>
      </c>
    </row>
    <row r="531" spans="1:6" ht="13" x14ac:dyDescent="0.15">
      <c r="A531" s="3">
        <v>42899</v>
      </c>
      <c r="B531">
        <v>2434.15</v>
      </c>
      <c r="C531">
        <v>2441.4899999999998</v>
      </c>
      <c r="D531">
        <v>2431.2800000000002</v>
      </c>
      <c r="E531">
        <v>2440.35</v>
      </c>
      <c r="F531">
        <v>2078679924</v>
      </c>
    </row>
    <row r="532" spans="1:6" ht="13" x14ac:dyDescent="0.15">
      <c r="A532" s="3">
        <v>42900</v>
      </c>
      <c r="B532">
        <v>2443.75</v>
      </c>
      <c r="C532">
        <v>2443.75</v>
      </c>
      <c r="D532">
        <v>2428.34</v>
      </c>
      <c r="E532">
        <v>2437.92</v>
      </c>
      <c r="F532">
        <v>2077560864</v>
      </c>
    </row>
    <row r="533" spans="1:6" ht="13" x14ac:dyDescent="0.15">
      <c r="A533" s="3">
        <v>42901</v>
      </c>
      <c r="B533">
        <v>2424.14</v>
      </c>
      <c r="C533">
        <v>2433.9499999999998</v>
      </c>
      <c r="D533">
        <v>2418.5300000000002</v>
      </c>
      <c r="E533">
        <v>2432.46</v>
      </c>
      <c r="F533">
        <v>2056413023</v>
      </c>
    </row>
    <row r="534" spans="1:6" ht="13" x14ac:dyDescent="0.15">
      <c r="A534" s="3">
        <v>42902</v>
      </c>
      <c r="B534">
        <v>2431.2399999999998</v>
      </c>
      <c r="C534">
        <v>2433.15</v>
      </c>
      <c r="D534">
        <v>2422.88</v>
      </c>
      <c r="E534">
        <v>2433.15</v>
      </c>
      <c r="F534">
        <v>3474905593</v>
      </c>
    </row>
    <row r="535" spans="1:6" ht="13" x14ac:dyDescent="0.15">
      <c r="A535" s="3">
        <v>42905</v>
      </c>
      <c r="B535">
        <v>2442.5500000000002</v>
      </c>
      <c r="C535">
        <v>2453.8200000000002</v>
      </c>
      <c r="D535">
        <v>2441.79</v>
      </c>
      <c r="E535">
        <v>2453.46</v>
      </c>
      <c r="F535">
        <v>1881642580</v>
      </c>
    </row>
    <row r="536" spans="1:6" ht="13" x14ac:dyDescent="0.15">
      <c r="A536" s="3">
        <v>42906</v>
      </c>
      <c r="B536">
        <v>2450.66</v>
      </c>
      <c r="C536">
        <v>2450.66</v>
      </c>
      <c r="D536">
        <v>2436.6</v>
      </c>
      <c r="E536">
        <v>2437.0300000000002</v>
      </c>
      <c r="F536">
        <v>1981272777</v>
      </c>
    </row>
    <row r="537" spans="1:6" ht="13" x14ac:dyDescent="0.15">
      <c r="A537" s="3">
        <v>42907</v>
      </c>
      <c r="B537">
        <v>2439.31</v>
      </c>
      <c r="C537">
        <v>2442.23</v>
      </c>
      <c r="D537">
        <v>2430.7399999999998</v>
      </c>
      <c r="E537">
        <v>2435.61</v>
      </c>
      <c r="F537">
        <v>2194972916</v>
      </c>
    </row>
    <row r="538" spans="1:6" ht="13" x14ac:dyDescent="0.15">
      <c r="A538" s="3">
        <v>42908</v>
      </c>
      <c r="B538">
        <v>2437.4</v>
      </c>
      <c r="C538">
        <v>2441.62</v>
      </c>
      <c r="D538">
        <v>2433.27</v>
      </c>
      <c r="E538">
        <v>2434.5</v>
      </c>
      <c r="F538">
        <v>1975028145</v>
      </c>
    </row>
    <row r="539" spans="1:6" ht="13" x14ac:dyDescent="0.15">
      <c r="A539" s="3">
        <v>42909</v>
      </c>
      <c r="B539">
        <v>2434.65</v>
      </c>
      <c r="C539">
        <v>2441.4</v>
      </c>
      <c r="D539">
        <v>2431.11</v>
      </c>
      <c r="E539">
        <v>2438.3000000000002</v>
      </c>
      <c r="F539">
        <v>2954290817</v>
      </c>
    </row>
    <row r="540" spans="1:6" ht="13" x14ac:dyDescent="0.15">
      <c r="A540" s="3">
        <v>42912</v>
      </c>
      <c r="B540">
        <v>2443.3200000000002</v>
      </c>
      <c r="C540">
        <v>2450.42</v>
      </c>
      <c r="D540">
        <v>2437.0300000000002</v>
      </c>
      <c r="E540">
        <v>2439.0700000000002</v>
      </c>
      <c r="F540">
        <v>1807411392</v>
      </c>
    </row>
    <row r="541" spans="1:6" ht="13" x14ac:dyDescent="0.15">
      <c r="A541" s="3">
        <v>42913</v>
      </c>
      <c r="B541">
        <v>2436.34</v>
      </c>
      <c r="C541">
        <v>2440.15</v>
      </c>
      <c r="D541">
        <v>2419.38</v>
      </c>
      <c r="E541">
        <v>2419.38</v>
      </c>
      <c r="F541">
        <v>2029472171</v>
      </c>
    </row>
    <row r="542" spans="1:6" ht="13" x14ac:dyDescent="0.15">
      <c r="A542" s="3">
        <v>42914</v>
      </c>
      <c r="B542">
        <v>2428.6999999999998</v>
      </c>
      <c r="C542">
        <v>2442.9699999999998</v>
      </c>
      <c r="D542">
        <v>2428.02</v>
      </c>
      <c r="E542">
        <v>2440.69</v>
      </c>
      <c r="F542">
        <v>1978838398</v>
      </c>
    </row>
    <row r="543" spans="1:6" ht="13" x14ac:dyDescent="0.15">
      <c r="A543" s="3">
        <v>42915</v>
      </c>
      <c r="B543">
        <v>2442.38</v>
      </c>
      <c r="C543">
        <v>2442.73</v>
      </c>
      <c r="D543">
        <v>2405.6999999999998</v>
      </c>
      <c r="E543">
        <v>2419.6999999999998</v>
      </c>
      <c r="F543">
        <v>2437153407</v>
      </c>
    </row>
    <row r="544" spans="1:6" ht="13" x14ac:dyDescent="0.15">
      <c r="A544" s="3">
        <v>42916</v>
      </c>
      <c r="B544">
        <v>2429.1999999999998</v>
      </c>
      <c r="C544">
        <v>2432.71</v>
      </c>
      <c r="D544">
        <v>2421.65</v>
      </c>
      <c r="E544">
        <v>2423.41</v>
      </c>
      <c r="F544">
        <v>2068473232</v>
      </c>
    </row>
    <row r="545" spans="1:6" ht="13" x14ac:dyDescent="0.15">
      <c r="A545" s="3">
        <v>42919</v>
      </c>
      <c r="B545">
        <v>2431.39</v>
      </c>
      <c r="C545">
        <v>2439.17</v>
      </c>
      <c r="D545">
        <v>2428.69</v>
      </c>
      <c r="E545">
        <v>2429.0100000000002</v>
      </c>
      <c r="F545">
        <v>1196618815</v>
      </c>
    </row>
    <row r="546" spans="1:6" ht="13" x14ac:dyDescent="0.15">
      <c r="A546" s="3">
        <v>42921</v>
      </c>
      <c r="B546">
        <v>2430.7800000000002</v>
      </c>
      <c r="C546">
        <v>2434.9</v>
      </c>
      <c r="D546">
        <v>2422.0500000000002</v>
      </c>
      <c r="E546">
        <v>2432.54</v>
      </c>
      <c r="F546">
        <v>2001771783</v>
      </c>
    </row>
    <row r="547" spans="1:6" ht="13" x14ac:dyDescent="0.15">
      <c r="A547" s="3">
        <v>42922</v>
      </c>
      <c r="B547">
        <v>2423.44</v>
      </c>
      <c r="C547">
        <v>2424.2800000000002</v>
      </c>
      <c r="D547">
        <v>2407.6999999999998</v>
      </c>
      <c r="E547">
        <v>2409.75</v>
      </c>
      <c r="F547">
        <v>2021300572</v>
      </c>
    </row>
    <row r="548" spans="1:6" ht="13" x14ac:dyDescent="0.15">
      <c r="A548" s="3">
        <v>42923</v>
      </c>
      <c r="B548">
        <v>2413.52</v>
      </c>
      <c r="C548">
        <v>2426.92</v>
      </c>
      <c r="D548">
        <v>2413.52</v>
      </c>
      <c r="E548">
        <v>2425.1799999999998</v>
      </c>
      <c r="F548">
        <v>1668167766</v>
      </c>
    </row>
    <row r="549" spans="1:6" ht="13" x14ac:dyDescent="0.15">
      <c r="A549" s="3">
        <v>42926</v>
      </c>
      <c r="B549">
        <v>2424.5100000000002</v>
      </c>
      <c r="C549">
        <v>2432</v>
      </c>
      <c r="D549">
        <v>2422.27</v>
      </c>
      <c r="E549">
        <v>2427.4299999999998</v>
      </c>
      <c r="F549">
        <v>1767990685</v>
      </c>
    </row>
    <row r="550" spans="1:6" ht="13" x14ac:dyDescent="0.15">
      <c r="A550" s="3">
        <v>42927</v>
      </c>
      <c r="B550">
        <v>2427.35</v>
      </c>
      <c r="C550">
        <v>2429.3000000000002</v>
      </c>
      <c r="D550">
        <v>2412.79</v>
      </c>
      <c r="E550">
        <v>2425.5300000000002</v>
      </c>
      <c r="F550">
        <v>1732498090</v>
      </c>
    </row>
    <row r="551" spans="1:6" ht="13" x14ac:dyDescent="0.15">
      <c r="A551" s="3">
        <v>42928</v>
      </c>
      <c r="B551">
        <v>2435.75</v>
      </c>
      <c r="C551">
        <v>2445.7600000000002</v>
      </c>
      <c r="D551">
        <v>2435.75</v>
      </c>
      <c r="E551">
        <v>2443.25</v>
      </c>
      <c r="F551">
        <v>1856436041</v>
      </c>
    </row>
    <row r="552" spans="1:6" ht="13" x14ac:dyDescent="0.15">
      <c r="A552" s="3">
        <v>42929</v>
      </c>
      <c r="B552">
        <v>2444.9899999999998</v>
      </c>
      <c r="C552">
        <v>2449.3200000000002</v>
      </c>
      <c r="D552">
        <v>2441.69</v>
      </c>
      <c r="E552">
        <v>2447.83</v>
      </c>
      <c r="F552">
        <v>1845640421</v>
      </c>
    </row>
    <row r="553" spans="1:6" ht="13" x14ac:dyDescent="0.15">
      <c r="A553" s="3">
        <v>42930</v>
      </c>
      <c r="B553">
        <v>2449.16</v>
      </c>
      <c r="C553">
        <v>2463.54</v>
      </c>
      <c r="D553">
        <v>2446.69</v>
      </c>
      <c r="E553">
        <v>2459.27</v>
      </c>
      <c r="F553">
        <v>1667639471</v>
      </c>
    </row>
    <row r="554" spans="1:6" ht="13" x14ac:dyDescent="0.15">
      <c r="A554" s="3">
        <v>42933</v>
      </c>
      <c r="B554">
        <v>2459.5</v>
      </c>
      <c r="C554">
        <v>2462.8200000000002</v>
      </c>
      <c r="D554">
        <v>2457.16</v>
      </c>
      <c r="E554">
        <v>2459.14</v>
      </c>
      <c r="F554">
        <v>1655943312</v>
      </c>
    </row>
    <row r="555" spans="1:6" ht="13" x14ac:dyDescent="0.15">
      <c r="A555" s="3">
        <v>42934</v>
      </c>
      <c r="B555">
        <v>2455.88</v>
      </c>
      <c r="C555">
        <v>2460.92</v>
      </c>
      <c r="D555">
        <v>2450.34</v>
      </c>
      <c r="E555">
        <v>2460.61</v>
      </c>
      <c r="F555">
        <v>1750952401</v>
      </c>
    </row>
    <row r="556" spans="1:6" ht="13" x14ac:dyDescent="0.15">
      <c r="A556" s="3">
        <v>42935</v>
      </c>
      <c r="B556">
        <v>2463.85</v>
      </c>
      <c r="C556">
        <v>2473.83</v>
      </c>
      <c r="D556">
        <v>2463.85</v>
      </c>
      <c r="E556">
        <v>2473.83</v>
      </c>
      <c r="F556">
        <v>1849694295</v>
      </c>
    </row>
    <row r="557" spans="1:6" ht="13" x14ac:dyDescent="0.15">
      <c r="A557" s="3">
        <v>42936</v>
      </c>
      <c r="B557">
        <v>2475.56</v>
      </c>
      <c r="C557">
        <v>2477.62</v>
      </c>
      <c r="D557">
        <v>2468.4299999999998</v>
      </c>
      <c r="E557">
        <v>2473.4499999999998</v>
      </c>
      <c r="F557">
        <v>1993809051</v>
      </c>
    </row>
    <row r="558" spans="1:6" ht="13" x14ac:dyDescent="0.15">
      <c r="A558" s="3">
        <v>42937</v>
      </c>
      <c r="B558">
        <v>2467.4</v>
      </c>
      <c r="C558">
        <v>2472.54</v>
      </c>
      <c r="D558">
        <v>2465.06</v>
      </c>
      <c r="E558">
        <v>2472.54</v>
      </c>
      <c r="F558">
        <v>1946504700</v>
      </c>
    </row>
    <row r="559" spans="1:6" ht="13" x14ac:dyDescent="0.15">
      <c r="A559" s="3">
        <v>42940</v>
      </c>
      <c r="B559">
        <v>2472.04</v>
      </c>
      <c r="C559">
        <v>2473.1</v>
      </c>
      <c r="D559">
        <v>2466.3200000000002</v>
      </c>
      <c r="E559">
        <v>2469.91</v>
      </c>
      <c r="F559">
        <v>1943950654</v>
      </c>
    </row>
    <row r="560" spans="1:6" ht="13" x14ac:dyDescent="0.15">
      <c r="A560" s="3">
        <v>42941</v>
      </c>
      <c r="B560">
        <v>2477.88</v>
      </c>
      <c r="C560">
        <v>2481.2399999999998</v>
      </c>
      <c r="D560">
        <v>2474.91</v>
      </c>
      <c r="E560">
        <v>2477.13</v>
      </c>
      <c r="F560">
        <v>2373901996</v>
      </c>
    </row>
    <row r="561" spans="1:6" ht="13" x14ac:dyDescent="0.15">
      <c r="A561" s="3">
        <v>42942</v>
      </c>
      <c r="B561">
        <v>2479.9699999999998</v>
      </c>
      <c r="C561">
        <v>2481.69</v>
      </c>
      <c r="D561">
        <v>2474.94</v>
      </c>
      <c r="E561">
        <v>2477.83</v>
      </c>
      <c r="F561">
        <v>2261843215</v>
      </c>
    </row>
    <row r="562" spans="1:6" ht="13" x14ac:dyDescent="0.15">
      <c r="A562" s="3">
        <v>42943</v>
      </c>
      <c r="B562">
        <v>2482.7600000000002</v>
      </c>
      <c r="C562">
        <v>2484.04</v>
      </c>
      <c r="D562">
        <v>2459.9299999999998</v>
      </c>
      <c r="E562">
        <v>2475.42</v>
      </c>
      <c r="F562">
        <v>2677231030</v>
      </c>
    </row>
    <row r="563" spans="1:6" ht="13" x14ac:dyDescent="0.15">
      <c r="A563" s="3">
        <v>42944</v>
      </c>
      <c r="B563">
        <v>2469.12</v>
      </c>
      <c r="C563">
        <v>2473.5300000000002</v>
      </c>
      <c r="D563">
        <v>2464.66</v>
      </c>
      <c r="E563">
        <v>2472.1</v>
      </c>
      <c r="F563">
        <v>2043353625</v>
      </c>
    </row>
    <row r="564" spans="1:6" ht="13" x14ac:dyDescent="0.15">
      <c r="A564" s="3">
        <v>42947</v>
      </c>
      <c r="B564">
        <v>2475.94</v>
      </c>
      <c r="C564">
        <v>2477.96</v>
      </c>
      <c r="D564">
        <v>2468.5300000000002</v>
      </c>
      <c r="E564">
        <v>2470.3000000000002</v>
      </c>
      <c r="F564">
        <v>2189633778</v>
      </c>
    </row>
    <row r="565" spans="1:6" ht="13" x14ac:dyDescent="0.15">
      <c r="A565" s="3">
        <v>42948</v>
      </c>
      <c r="B565">
        <v>2477.1</v>
      </c>
      <c r="C565">
        <v>2478.5100000000002</v>
      </c>
      <c r="D565">
        <v>2471.14</v>
      </c>
      <c r="E565">
        <v>2476.35</v>
      </c>
      <c r="F565">
        <v>2076284140</v>
      </c>
    </row>
    <row r="566" spans="1:6" ht="13" x14ac:dyDescent="0.15">
      <c r="A566" s="3">
        <v>42949</v>
      </c>
      <c r="B566">
        <v>2480.38</v>
      </c>
      <c r="C566">
        <v>2480.38</v>
      </c>
      <c r="D566">
        <v>2466.48</v>
      </c>
      <c r="E566">
        <v>2477.5700000000002</v>
      </c>
      <c r="F566">
        <v>2125483668</v>
      </c>
    </row>
    <row r="567" spans="1:6" ht="13" x14ac:dyDescent="0.15">
      <c r="A567" s="3">
        <v>42950</v>
      </c>
      <c r="B567">
        <v>2476.0300000000002</v>
      </c>
      <c r="C567">
        <v>2476.0300000000002</v>
      </c>
      <c r="D567">
        <v>2468.85</v>
      </c>
      <c r="E567">
        <v>2472.16</v>
      </c>
      <c r="F567">
        <v>2039487376</v>
      </c>
    </row>
    <row r="568" spans="1:6" ht="13" x14ac:dyDescent="0.15">
      <c r="A568" s="3">
        <v>42951</v>
      </c>
      <c r="B568">
        <v>2476.88</v>
      </c>
      <c r="C568">
        <v>2480</v>
      </c>
      <c r="D568">
        <v>2472.08</v>
      </c>
      <c r="E568">
        <v>2476.83</v>
      </c>
      <c r="F568">
        <v>1869113813</v>
      </c>
    </row>
    <row r="569" spans="1:6" ht="13" x14ac:dyDescent="0.15">
      <c r="A569" s="3">
        <v>42954</v>
      </c>
      <c r="B569">
        <v>2477.14</v>
      </c>
      <c r="C569">
        <v>2480.9499999999998</v>
      </c>
      <c r="D569">
        <v>2475.88</v>
      </c>
      <c r="E569">
        <v>2480.91</v>
      </c>
      <c r="F569">
        <v>1639568452</v>
      </c>
    </row>
    <row r="570" spans="1:6" ht="13" x14ac:dyDescent="0.15">
      <c r="A570" s="3">
        <v>42955</v>
      </c>
      <c r="B570">
        <v>2478.35</v>
      </c>
      <c r="C570">
        <v>2490.87</v>
      </c>
      <c r="D570">
        <v>2470.3200000000002</v>
      </c>
      <c r="E570">
        <v>2474.92</v>
      </c>
      <c r="F570">
        <v>1826290700</v>
      </c>
    </row>
    <row r="571" spans="1:6" ht="13" x14ac:dyDescent="0.15">
      <c r="A571" s="3">
        <v>42956</v>
      </c>
      <c r="B571">
        <v>2465.35</v>
      </c>
      <c r="C571">
        <v>2474.41</v>
      </c>
      <c r="D571">
        <v>2462.08</v>
      </c>
      <c r="E571">
        <v>2474.02</v>
      </c>
      <c r="F571">
        <v>1821056073</v>
      </c>
    </row>
    <row r="572" spans="1:6" ht="13" x14ac:dyDescent="0.15">
      <c r="A572" s="3">
        <v>42957</v>
      </c>
      <c r="B572">
        <v>2465.38</v>
      </c>
      <c r="C572">
        <v>2465.38</v>
      </c>
      <c r="D572">
        <v>2437.75</v>
      </c>
      <c r="E572">
        <v>2438.21</v>
      </c>
      <c r="F572">
        <v>2079314829</v>
      </c>
    </row>
    <row r="573" spans="1:6" ht="13" x14ac:dyDescent="0.15">
      <c r="A573" s="3">
        <v>42958</v>
      </c>
      <c r="B573">
        <v>2441.04</v>
      </c>
      <c r="C573">
        <v>2448.09</v>
      </c>
      <c r="D573">
        <v>2437.85</v>
      </c>
      <c r="E573">
        <v>2441.3200000000002</v>
      </c>
      <c r="F573">
        <v>1659262568</v>
      </c>
    </row>
    <row r="574" spans="1:6" ht="13" x14ac:dyDescent="0.15">
      <c r="A574" s="3">
        <v>42961</v>
      </c>
      <c r="B574">
        <v>2454.96</v>
      </c>
      <c r="C574">
        <v>2468.2199999999998</v>
      </c>
      <c r="D574">
        <v>2454.96</v>
      </c>
      <c r="E574">
        <v>2465.84</v>
      </c>
      <c r="F574">
        <v>1586223587</v>
      </c>
    </row>
    <row r="575" spans="1:6" ht="13" x14ac:dyDescent="0.15">
      <c r="A575" s="3">
        <v>42962</v>
      </c>
      <c r="B575">
        <v>2468.66</v>
      </c>
      <c r="C575">
        <v>2468.9</v>
      </c>
      <c r="D575">
        <v>2461.61</v>
      </c>
      <c r="E575">
        <v>2464.61</v>
      </c>
      <c r="F575">
        <v>1689633539</v>
      </c>
    </row>
    <row r="576" spans="1:6" ht="13" x14ac:dyDescent="0.15">
      <c r="A576" s="3">
        <v>42963</v>
      </c>
      <c r="B576">
        <v>2468.63</v>
      </c>
      <c r="C576">
        <v>2474.9299999999998</v>
      </c>
      <c r="D576">
        <v>2463.86</v>
      </c>
      <c r="E576">
        <v>2468.11</v>
      </c>
      <c r="F576">
        <v>1686069913</v>
      </c>
    </row>
    <row r="577" spans="1:6" ht="13" x14ac:dyDescent="0.15">
      <c r="A577" s="3">
        <v>42964</v>
      </c>
      <c r="B577">
        <v>2462.9499999999998</v>
      </c>
      <c r="C577">
        <v>2465.02</v>
      </c>
      <c r="D577">
        <v>2430.0100000000002</v>
      </c>
      <c r="E577">
        <v>2430.0100000000002</v>
      </c>
      <c r="F577">
        <v>1929351131</v>
      </c>
    </row>
    <row r="578" spans="1:6" ht="13" x14ac:dyDescent="0.15">
      <c r="A578" s="3">
        <v>42965</v>
      </c>
      <c r="B578">
        <v>2427.64</v>
      </c>
      <c r="C578">
        <v>2440.27</v>
      </c>
      <c r="D578">
        <v>2420.69</v>
      </c>
      <c r="E578">
        <v>2425.5500000000002</v>
      </c>
      <c r="F578">
        <v>1962081325</v>
      </c>
    </row>
    <row r="579" spans="1:6" ht="13" x14ac:dyDescent="0.15">
      <c r="A579" s="3">
        <v>42968</v>
      </c>
      <c r="B579">
        <v>2425.5</v>
      </c>
      <c r="C579">
        <v>2430.58</v>
      </c>
      <c r="D579">
        <v>2417.35</v>
      </c>
      <c r="E579">
        <v>2428.37</v>
      </c>
      <c r="F579">
        <v>1635773789</v>
      </c>
    </row>
    <row r="580" spans="1:6" ht="13" x14ac:dyDescent="0.15">
      <c r="A580" s="3">
        <v>42969</v>
      </c>
      <c r="B580">
        <v>2433.75</v>
      </c>
      <c r="C580">
        <v>2454.77</v>
      </c>
      <c r="D580">
        <v>2433.67</v>
      </c>
      <c r="E580">
        <v>2452.5100000000002</v>
      </c>
      <c r="F580">
        <v>1588713900</v>
      </c>
    </row>
    <row r="581" spans="1:6" ht="13" x14ac:dyDescent="0.15">
      <c r="A581" s="3">
        <v>42970</v>
      </c>
      <c r="B581">
        <v>2444.88</v>
      </c>
      <c r="C581">
        <v>2448.91</v>
      </c>
      <c r="D581">
        <v>2441.42</v>
      </c>
      <c r="E581">
        <v>2444.04</v>
      </c>
      <c r="F581">
        <v>1583454204</v>
      </c>
    </row>
    <row r="582" spans="1:6" ht="13" x14ac:dyDescent="0.15">
      <c r="A582" s="3">
        <v>42971</v>
      </c>
      <c r="B582">
        <v>2447.91</v>
      </c>
      <c r="C582">
        <v>2450.39</v>
      </c>
      <c r="D582">
        <v>2436.19</v>
      </c>
      <c r="E582">
        <v>2438.9699999999998</v>
      </c>
      <c r="F582">
        <v>1678956575</v>
      </c>
    </row>
    <row r="583" spans="1:6" ht="13" x14ac:dyDescent="0.15">
      <c r="A583" s="3">
        <v>42972</v>
      </c>
      <c r="B583">
        <v>2444.7199999999998</v>
      </c>
      <c r="C583">
        <v>2453.96</v>
      </c>
      <c r="D583">
        <v>2442.2199999999998</v>
      </c>
      <c r="E583">
        <v>2443.0500000000002</v>
      </c>
      <c r="F583">
        <v>1500901045</v>
      </c>
    </row>
    <row r="584" spans="1:6" ht="13" x14ac:dyDescent="0.15">
      <c r="A584" s="3">
        <v>42975</v>
      </c>
      <c r="B584">
        <v>2447.35</v>
      </c>
      <c r="C584">
        <v>2449.12</v>
      </c>
      <c r="D584">
        <v>2439.0300000000002</v>
      </c>
      <c r="E584">
        <v>2444.2399999999998</v>
      </c>
      <c r="F584">
        <v>1466541776</v>
      </c>
    </row>
    <row r="585" spans="1:6" ht="13" x14ac:dyDescent="0.15">
      <c r="A585" s="3">
        <v>42976</v>
      </c>
      <c r="B585">
        <v>2431.94</v>
      </c>
      <c r="C585">
        <v>2449.19</v>
      </c>
      <c r="D585">
        <v>2428.1999999999998</v>
      </c>
      <c r="E585">
        <v>2446.3000000000002</v>
      </c>
      <c r="F585">
        <v>1503811225</v>
      </c>
    </row>
    <row r="586" spans="1:6" ht="13" x14ac:dyDescent="0.15">
      <c r="A586" s="3">
        <v>42977</v>
      </c>
      <c r="B586">
        <v>2446.06</v>
      </c>
      <c r="C586">
        <v>2460.31</v>
      </c>
      <c r="D586">
        <v>2443.77</v>
      </c>
      <c r="E586">
        <v>2457.59</v>
      </c>
      <c r="F586">
        <v>1552245818</v>
      </c>
    </row>
    <row r="587" spans="1:6" ht="13" x14ac:dyDescent="0.15">
      <c r="A587" s="3">
        <v>42978</v>
      </c>
      <c r="B587">
        <v>2462.65</v>
      </c>
      <c r="C587">
        <v>2475.0100000000002</v>
      </c>
      <c r="D587">
        <v>2462.65</v>
      </c>
      <c r="E587">
        <v>2471.65</v>
      </c>
      <c r="F587">
        <v>2076949466</v>
      </c>
    </row>
    <row r="588" spans="1:6" ht="13" x14ac:dyDescent="0.15">
      <c r="A588" s="3">
        <v>42979</v>
      </c>
      <c r="B588">
        <v>2474.42</v>
      </c>
      <c r="C588">
        <v>2480.38</v>
      </c>
      <c r="D588">
        <v>2473.85</v>
      </c>
      <c r="E588">
        <v>2476.5500000000002</v>
      </c>
      <c r="F588">
        <v>1581548754</v>
      </c>
    </row>
    <row r="589" spans="1:6" ht="13" x14ac:dyDescent="0.15">
      <c r="A589" s="3">
        <v>42983</v>
      </c>
      <c r="B589">
        <v>2470.35</v>
      </c>
      <c r="C589">
        <v>2471.9699999999998</v>
      </c>
      <c r="D589">
        <v>2446.5500000000002</v>
      </c>
      <c r="E589">
        <v>2457.85</v>
      </c>
      <c r="F589">
        <v>2114362534</v>
      </c>
    </row>
    <row r="590" spans="1:6" ht="13" x14ac:dyDescent="0.15">
      <c r="A590" s="3">
        <v>42984</v>
      </c>
      <c r="B590">
        <v>2463.83</v>
      </c>
      <c r="C590">
        <v>2469.64</v>
      </c>
      <c r="D590">
        <v>2459.1999999999998</v>
      </c>
      <c r="E590">
        <v>2465.54</v>
      </c>
      <c r="F590">
        <v>2049759055</v>
      </c>
    </row>
    <row r="591" spans="1:6" ht="13" x14ac:dyDescent="0.15">
      <c r="A591" s="3">
        <v>42985</v>
      </c>
      <c r="B591">
        <v>2468.06</v>
      </c>
      <c r="C591">
        <v>2468.62</v>
      </c>
      <c r="D591">
        <v>2460.29</v>
      </c>
      <c r="E591">
        <v>2465.1</v>
      </c>
      <c r="F591">
        <v>2097113822</v>
      </c>
    </row>
    <row r="592" spans="1:6" ht="13" x14ac:dyDescent="0.15">
      <c r="A592" s="3">
        <v>42986</v>
      </c>
      <c r="B592">
        <v>2462.25</v>
      </c>
      <c r="C592">
        <v>2467.11</v>
      </c>
      <c r="D592">
        <v>2459.4</v>
      </c>
      <c r="E592">
        <v>2461.4299999999998</v>
      </c>
      <c r="F592">
        <v>2003871859</v>
      </c>
    </row>
    <row r="593" spans="1:6" ht="13" x14ac:dyDescent="0.15">
      <c r="A593" s="3">
        <v>42989</v>
      </c>
      <c r="B593">
        <v>2474.52</v>
      </c>
      <c r="C593">
        <v>2488.9499999999998</v>
      </c>
      <c r="D593">
        <v>2474.52</v>
      </c>
      <c r="E593">
        <v>2488.11</v>
      </c>
      <c r="F593">
        <v>1933077168</v>
      </c>
    </row>
    <row r="594" spans="1:6" ht="13" x14ac:dyDescent="0.15">
      <c r="A594" s="3">
        <v>42990</v>
      </c>
      <c r="B594">
        <v>2491.94</v>
      </c>
      <c r="C594">
        <v>2496.77</v>
      </c>
      <c r="D594">
        <v>2490.37</v>
      </c>
      <c r="E594">
        <v>2496.48</v>
      </c>
      <c r="F594">
        <v>1937393633</v>
      </c>
    </row>
    <row r="595" spans="1:6" ht="13" x14ac:dyDescent="0.15">
      <c r="A595" s="3">
        <v>42991</v>
      </c>
      <c r="B595">
        <v>2493.89</v>
      </c>
      <c r="C595">
        <v>2498.37</v>
      </c>
      <c r="D595">
        <v>2492.14</v>
      </c>
      <c r="E595">
        <v>2498.37</v>
      </c>
      <c r="F595">
        <v>1897322876</v>
      </c>
    </row>
    <row r="596" spans="1:6" ht="13" x14ac:dyDescent="0.15">
      <c r="A596" s="3">
        <v>42992</v>
      </c>
      <c r="B596">
        <v>2494.56</v>
      </c>
      <c r="C596">
        <v>2498.4299999999998</v>
      </c>
      <c r="D596">
        <v>2491.35</v>
      </c>
      <c r="E596">
        <v>2495.62</v>
      </c>
      <c r="F596">
        <v>1916765069</v>
      </c>
    </row>
    <row r="597" spans="1:6" ht="13" x14ac:dyDescent="0.15">
      <c r="A597" s="3">
        <v>42993</v>
      </c>
      <c r="B597">
        <v>2495.67</v>
      </c>
      <c r="C597">
        <v>2500.23</v>
      </c>
      <c r="D597">
        <v>2493.16</v>
      </c>
      <c r="E597">
        <v>2500.23</v>
      </c>
      <c r="F597">
        <v>3038855557</v>
      </c>
    </row>
    <row r="598" spans="1:6" ht="13" x14ac:dyDescent="0.15">
      <c r="A598" s="3">
        <v>42996</v>
      </c>
      <c r="B598">
        <v>2502.5100000000002</v>
      </c>
      <c r="C598">
        <v>2508.3200000000002</v>
      </c>
      <c r="D598">
        <v>2499.92</v>
      </c>
      <c r="E598">
        <v>2503.87</v>
      </c>
      <c r="F598">
        <v>1922720626</v>
      </c>
    </row>
    <row r="599" spans="1:6" ht="13" x14ac:dyDescent="0.15">
      <c r="A599" s="3">
        <v>42997</v>
      </c>
      <c r="B599">
        <v>2506.29</v>
      </c>
      <c r="C599">
        <v>2507.84</v>
      </c>
      <c r="D599">
        <v>2503.19</v>
      </c>
      <c r="E599">
        <v>2506.65</v>
      </c>
      <c r="F599">
        <v>1920071498</v>
      </c>
    </row>
    <row r="600" spans="1:6" ht="13" x14ac:dyDescent="0.15">
      <c r="A600" s="3">
        <v>42998</v>
      </c>
      <c r="B600">
        <v>2506.84</v>
      </c>
      <c r="C600">
        <v>2508.85</v>
      </c>
      <c r="D600">
        <v>2496.67</v>
      </c>
      <c r="E600">
        <v>2508.2399999999998</v>
      </c>
      <c r="F600">
        <v>2066413790</v>
      </c>
    </row>
    <row r="601" spans="1:6" ht="13" x14ac:dyDescent="0.15">
      <c r="A601" s="3">
        <v>42999</v>
      </c>
      <c r="B601">
        <v>2507.16</v>
      </c>
      <c r="C601">
        <v>2507.16</v>
      </c>
      <c r="D601">
        <v>2499</v>
      </c>
      <c r="E601">
        <v>2500.6</v>
      </c>
      <c r="F601">
        <v>1811929140</v>
      </c>
    </row>
    <row r="602" spans="1:6" ht="13" x14ac:dyDescent="0.15">
      <c r="A602" s="3">
        <v>43000</v>
      </c>
      <c r="B602">
        <v>2497.2600000000002</v>
      </c>
      <c r="C602">
        <v>2503.4699999999998</v>
      </c>
      <c r="D602">
        <v>2496.54</v>
      </c>
      <c r="E602">
        <v>2502.2199999999998</v>
      </c>
      <c r="F602">
        <v>1672336528</v>
      </c>
    </row>
    <row r="603" spans="1:6" ht="13" x14ac:dyDescent="0.15">
      <c r="A603" s="3">
        <v>43003</v>
      </c>
      <c r="B603">
        <v>2499.39</v>
      </c>
      <c r="C603">
        <v>2502.54</v>
      </c>
      <c r="D603">
        <v>2488.0300000000002</v>
      </c>
      <c r="E603">
        <v>2496.66</v>
      </c>
      <c r="F603">
        <v>2033920239</v>
      </c>
    </row>
    <row r="604" spans="1:6" ht="13" x14ac:dyDescent="0.15">
      <c r="A604" s="3">
        <v>43004</v>
      </c>
      <c r="B604">
        <v>2501.04</v>
      </c>
      <c r="C604">
        <v>2503.5100000000002</v>
      </c>
      <c r="D604">
        <v>2495.12</v>
      </c>
      <c r="E604">
        <v>2496.84</v>
      </c>
      <c r="F604">
        <v>1822049412</v>
      </c>
    </row>
    <row r="605" spans="1:6" ht="13" x14ac:dyDescent="0.15">
      <c r="A605" s="3">
        <v>43005</v>
      </c>
      <c r="B605">
        <v>2503.3000000000002</v>
      </c>
      <c r="C605">
        <v>2511.75</v>
      </c>
      <c r="D605">
        <v>2495.91</v>
      </c>
      <c r="E605">
        <v>2507.04</v>
      </c>
      <c r="F605">
        <v>2035326226</v>
      </c>
    </row>
    <row r="606" spans="1:6" ht="13" x14ac:dyDescent="0.15">
      <c r="A606" s="3">
        <v>43006</v>
      </c>
      <c r="B606">
        <v>2503.41</v>
      </c>
      <c r="C606">
        <v>2510.81</v>
      </c>
      <c r="D606">
        <v>2502.9299999999998</v>
      </c>
      <c r="E606">
        <v>2510.06</v>
      </c>
      <c r="F606">
        <v>1782169892</v>
      </c>
    </row>
    <row r="607" spans="1:6" ht="13" x14ac:dyDescent="0.15">
      <c r="A607" s="3">
        <v>43007</v>
      </c>
      <c r="B607">
        <v>2509.96</v>
      </c>
      <c r="C607">
        <v>2519.44</v>
      </c>
      <c r="D607">
        <v>2507.9899999999998</v>
      </c>
      <c r="E607">
        <v>2519.36</v>
      </c>
      <c r="F607">
        <v>1809911727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35"/>
  <sheetViews>
    <sheetView workbookViewId="0"/>
  </sheetViews>
  <sheetFormatPr baseColWidth="10" defaultColWidth="14.5" defaultRowHeight="15.75" customHeight="1" x14ac:dyDescent="0.15"/>
  <cols>
    <col min="1" max="1" width="10.1640625" style="3" bestFit="1" customWidth="1"/>
    <col min="2" max="5" width="7.83203125" customWidth="1"/>
    <col min="6" max="6" width="10.5" customWidth="1"/>
  </cols>
  <sheetData>
    <row r="1" spans="1:6" ht="15.75" customHeight="1" x14ac:dyDescent="0.15">
      <c r="A1" s="3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3">
        <v>39918</v>
      </c>
      <c r="B2">
        <v>839.44</v>
      </c>
      <c r="C2" s="1">
        <v>852.93</v>
      </c>
      <c r="D2" s="1">
        <v>835.58</v>
      </c>
      <c r="E2" s="1">
        <v>852.06</v>
      </c>
      <c r="F2" s="1">
        <v>624110016</v>
      </c>
    </row>
    <row r="3" spans="1:6" ht="15.75" customHeight="1" x14ac:dyDescent="0.15">
      <c r="A3" s="3">
        <v>39919</v>
      </c>
      <c r="B3">
        <v>854.54</v>
      </c>
      <c r="C3" s="1">
        <v>870.35</v>
      </c>
      <c r="D3" s="1">
        <v>847.04</v>
      </c>
      <c r="E3" s="1">
        <v>865.3</v>
      </c>
      <c r="F3" s="1">
        <v>659867008</v>
      </c>
    </row>
    <row r="4" spans="1:6" ht="15.75" customHeight="1" x14ac:dyDescent="0.15">
      <c r="A4" s="3">
        <v>39920</v>
      </c>
      <c r="B4">
        <v>865.18</v>
      </c>
      <c r="C4" s="1">
        <v>875.63</v>
      </c>
      <c r="D4" s="1">
        <v>860.87</v>
      </c>
      <c r="E4" s="1">
        <v>869.6</v>
      </c>
      <c r="F4" s="1">
        <v>335200960</v>
      </c>
    </row>
    <row r="5" spans="1:6" ht="15.75" customHeight="1" x14ac:dyDescent="0.15">
      <c r="A5" s="3">
        <v>39923</v>
      </c>
      <c r="B5">
        <v>868.27</v>
      </c>
      <c r="C5" s="1">
        <v>868.27</v>
      </c>
      <c r="D5" s="1">
        <v>832.39</v>
      </c>
      <c r="E5" s="1">
        <v>832.39</v>
      </c>
      <c r="F5" s="1">
        <v>697395968</v>
      </c>
    </row>
    <row r="6" spans="1:6" ht="15.75" customHeight="1" x14ac:dyDescent="0.15">
      <c r="A6" s="3">
        <v>39924</v>
      </c>
      <c r="B6">
        <v>831.25</v>
      </c>
      <c r="C6" s="1">
        <v>850.09</v>
      </c>
      <c r="D6" s="1">
        <v>826.83</v>
      </c>
      <c r="E6" s="1">
        <v>850.08</v>
      </c>
      <c r="F6" s="1">
        <v>343648960</v>
      </c>
    </row>
    <row r="7" spans="1:6" ht="15.75" customHeight="1" x14ac:dyDescent="0.15">
      <c r="A7" s="3">
        <v>39925</v>
      </c>
      <c r="B7">
        <v>847.26</v>
      </c>
      <c r="C7" s="1">
        <v>861.78</v>
      </c>
      <c r="D7" s="1">
        <v>840.57</v>
      </c>
      <c r="E7" s="1">
        <v>843.55</v>
      </c>
      <c r="F7" s="1">
        <v>332785984</v>
      </c>
    </row>
    <row r="8" spans="1:6" ht="15.75" customHeight="1" x14ac:dyDescent="0.15">
      <c r="A8" s="3">
        <v>39926</v>
      </c>
      <c r="B8">
        <v>844.62</v>
      </c>
      <c r="C8" s="1">
        <v>852.87</v>
      </c>
      <c r="D8" s="1">
        <v>835.45</v>
      </c>
      <c r="E8" s="1">
        <v>851.92</v>
      </c>
      <c r="F8" s="1">
        <v>656310016</v>
      </c>
    </row>
    <row r="9" spans="1:6" ht="15.75" customHeight="1" x14ac:dyDescent="0.15">
      <c r="A9" s="3">
        <v>39927</v>
      </c>
      <c r="B9">
        <v>853.91</v>
      </c>
      <c r="C9" s="1">
        <v>871.8</v>
      </c>
      <c r="D9" s="1">
        <v>853.91</v>
      </c>
      <c r="E9" s="1">
        <v>866.23</v>
      </c>
      <c r="F9" s="1">
        <v>311444000</v>
      </c>
    </row>
    <row r="10" spans="1:6" ht="15.75" customHeight="1" x14ac:dyDescent="0.15">
      <c r="A10" s="3">
        <v>39930</v>
      </c>
      <c r="B10">
        <v>862.82</v>
      </c>
      <c r="C10" s="1">
        <v>868.83</v>
      </c>
      <c r="D10" s="1">
        <v>854.65</v>
      </c>
      <c r="E10" s="1">
        <v>857.51</v>
      </c>
      <c r="F10" s="1">
        <v>561345984</v>
      </c>
    </row>
    <row r="11" spans="1:6" ht="15.75" customHeight="1" x14ac:dyDescent="0.15">
      <c r="A11" s="3">
        <v>39931</v>
      </c>
      <c r="B11">
        <v>854.48</v>
      </c>
      <c r="C11" s="1">
        <v>864.48</v>
      </c>
      <c r="D11" s="1">
        <v>847.12</v>
      </c>
      <c r="E11" s="1">
        <v>855.16</v>
      </c>
      <c r="F11" s="1">
        <v>632800000</v>
      </c>
    </row>
    <row r="12" spans="1:6" ht="15.75" customHeight="1" x14ac:dyDescent="0.15">
      <c r="A12" s="3">
        <v>39932</v>
      </c>
      <c r="B12">
        <v>856.85</v>
      </c>
      <c r="C12" s="1">
        <v>882.06</v>
      </c>
      <c r="D12" s="1">
        <v>856.85</v>
      </c>
      <c r="E12" s="1">
        <v>873.64</v>
      </c>
      <c r="F12" s="1">
        <v>610161984</v>
      </c>
    </row>
    <row r="13" spans="1:6" ht="15.75" customHeight="1" x14ac:dyDescent="0.15">
      <c r="A13" s="3">
        <v>39933</v>
      </c>
      <c r="B13">
        <v>876.59</v>
      </c>
      <c r="C13" s="1">
        <v>888.7</v>
      </c>
      <c r="D13" s="1">
        <v>868.51</v>
      </c>
      <c r="E13" s="1">
        <v>872.81</v>
      </c>
      <c r="F13" s="1">
        <v>686254016</v>
      </c>
    </row>
    <row r="14" spans="1:6" ht="15.75" customHeight="1" x14ac:dyDescent="0.15">
      <c r="A14" s="3">
        <v>39934</v>
      </c>
      <c r="B14">
        <v>872.74</v>
      </c>
      <c r="C14" s="1">
        <v>880.48</v>
      </c>
      <c r="D14" s="1">
        <v>866.1</v>
      </c>
      <c r="E14" s="1">
        <v>877.52</v>
      </c>
      <c r="F14" s="1">
        <v>531216992</v>
      </c>
    </row>
    <row r="15" spans="1:6" ht="15.75" customHeight="1" x14ac:dyDescent="0.15">
      <c r="A15" s="3">
        <v>39937</v>
      </c>
      <c r="B15">
        <v>879.21</v>
      </c>
      <c r="C15" s="1">
        <v>907.85</v>
      </c>
      <c r="D15" s="1">
        <v>879.21</v>
      </c>
      <c r="E15" s="1">
        <v>907.24</v>
      </c>
      <c r="F15" s="1">
        <v>303884000</v>
      </c>
    </row>
    <row r="16" spans="1:6" ht="15.75" customHeight="1" x14ac:dyDescent="0.15">
      <c r="A16" s="3">
        <v>39938</v>
      </c>
      <c r="B16">
        <v>906.1</v>
      </c>
      <c r="C16" s="1">
        <v>907.7</v>
      </c>
      <c r="D16" s="1">
        <v>897.34</v>
      </c>
      <c r="E16" s="1">
        <v>903.8</v>
      </c>
      <c r="F16" s="1">
        <v>688286016</v>
      </c>
    </row>
    <row r="17" spans="1:6" ht="15.75" customHeight="1" x14ac:dyDescent="0.15">
      <c r="A17" s="3">
        <v>39939</v>
      </c>
      <c r="B17">
        <v>903.95</v>
      </c>
      <c r="C17" s="1">
        <v>920.28</v>
      </c>
      <c r="D17" s="1">
        <v>903.95</v>
      </c>
      <c r="E17" s="1">
        <v>919.53</v>
      </c>
      <c r="F17" s="1">
        <v>355504000</v>
      </c>
    </row>
    <row r="18" spans="1:6" ht="15.75" customHeight="1" x14ac:dyDescent="0.15">
      <c r="A18" s="3">
        <v>39940</v>
      </c>
      <c r="B18">
        <v>919.58</v>
      </c>
      <c r="C18" s="1">
        <v>929.58</v>
      </c>
      <c r="D18" s="1">
        <v>901.36</v>
      </c>
      <c r="E18" s="1">
        <v>907.39</v>
      </c>
      <c r="F18" s="1">
        <v>412009984</v>
      </c>
    </row>
    <row r="19" spans="1:6" ht="15.75" customHeight="1" x14ac:dyDescent="0.15">
      <c r="A19" s="3">
        <v>39941</v>
      </c>
      <c r="B19">
        <v>909.03</v>
      </c>
      <c r="C19" s="1">
        <v>930.17</v>
      </c>
      <c r="D19" s="1">
        <v>909.03</v>
      </c>
      <c r="E19" s="1">
        <v>929.23</v>
      </c>
      <c r="F19" s="1">
        <v>316328000</v>
      </c>
    </row>
    <row r="20" spans="1:6" ht="15.75" customHeight="1" x14ac:dyDescent="0.15">
      <c r="A20" s="3">
        <v>39944</v>
      </c>
      <c r="B20">
        <v>913.82</v>
      </c>
      <c r="C20" s="1">
        <v>918.72</v>
      </c>
      <c r="D20" s="1">
        <v>908.68</v>
      </c>
      <c r="E20" s="1">
        <v>909.24</v>
      </c>
      <c r="F20" s="1">
        <v>615059968</v>
      </c>
    </row>
    <row r="21" spans="1:6" ht="15.75" customHeight="1" x14ac:dyDescent="0.15">
      <c r="A21" s="3">
        <v>39945</v>
      </c>
      <c r="B21">
        <v>910.52</v>
      </c>
      <c r="C21" s="1">
        <v>915.57</v>
      </c>
      <c r="D21" s="1">
        <v>896.46</v>
      </c>
      <c r="E21" s="1">
        <v>908.35</v>
      </c>
      <c r="F21" s="1">
        <v>687175040</v>
      </c>
    </row>
    <row r="22" spans="1:6" ht="15.75" customHeight="1" x14ac:dyDescent="0.15">
      <c r="A22" s="3">
        <v>39946</v>
      </c>
      <c r="B22">
        <v>905.4</v>
      </c>
      <c r="C22" s="1">
        <v>905.4</v>
      </c>
      <c r="D22" s="1">
        <v>882.8</v>
      </c>
      <c r="E22" s="1">
        <v>883.92</v>
      </c>
      <c r="F22" s="1">
        <v>309182016</v>
      </c>
    </row>
    <row r="23" spans="1:6" ht="15.75" customHeight="1" x14ac:dyDescent="0.15">
      <c r="A23" s="3">
        <v>39947</v>
      </c>
      <c r="B23">
        <v>884.24</v>
      </c>
      <c r="C23" s="1">
        <v>898.36</v>
      </c>
      <c r="D23" s="1">
        <v>882.52</v>
      </c>
      <c r="E23" s="1">
        <v>893.07</v>
      </c>
      <c r="F23" s="1">
        <v>613486976</v>
      </c>
    </row>
    <row r="24" spans="1:6" ht="15.75" customHeight="1" x14ac:dyDescent="0.15">
      <c r="A24" s="3">
        <v>39948</v>
      </c>
      <c r="B24">
        <v>892.76</v>
      </c>
      <c r="C24" s="1">
        <v>896.97</v>
      </c>
      <c r="D24" s="1">
        <v>878.94</v>
      </c>
      <c r="E24" s="1">
        <v>882.88</v>
      </c>
      <c r="F24" s="1">
        <v>543971968</v>
      </c>
    </row>
    <row r="25" spans="1:6" ht="15.75" customHeight="1" x14ac:dyDescent="0.15">
      <c r="A25" s="3">
        <v>39951</v>
      </c>
      <c r="B25">
        <v>886.07</v>
      </c>
      <c r="C25" s="1">
        <v>910</v>
      </c>
      <c r="D25" s="1">
        <v>886.07</v>
      </c>
      <c r="E25" s="1">
        <v>909.71</v>
      </c>
      <c r="F25" s="1">
        <v>570214976</v>
      </c>
    </row>
    <row r="26" spans="1:6" ht="15.75" customHeight="1" x14ac:dyDescent="0.15">
      <c r="A26" s="3">
        <v>39952</v>
      </c>
      <c r="B26">
        <v>909.67</v>
      </c>
      <c r="C26" s="1">
        <v>916.39</v>
      </c>
      <c r="D26" s="1">
        <v>905.22</v>
      </c>
      <c r="E26" s="1">
        <v>908.13</v>
      </c>
      <c r="F26" s="1">
        <v>661627008</v>
      </c>
    </row>
    <row r="27" spans="1:6" ht="15.75" customHeight="1" x14ac:dyDescent="0.15">
      <c r="A27" s="3">
        <v>39953</v>
      </c>
      <c r="B27">
        <v>908.62</v>
      </c>
      <c r="C27" s="1">
        <v>924.6</v>
      </c>
      <c r="D27" s="1">
        <v>901.37</v>
      </c>
      <c r="E27" s="1">
        <v>903.47</v>
      </c>
      <c r="F27" s="1">
        <v>320505984</v>
      </c>
    </row>
    <row r="28" spans="1:6" ht="15.75" customHeight="1" x14ac:dyDescent="0.15">
      <c r="A28" s="3">
        <v>39954</v>
      </c>
      <c r="B28">
        <v>900.42</v>
      </c>
      <c r="C28" s="1">
        <v>900.42</v>
      </c>
      <c r="D28" s="1">
        <v>879.61</v>
      </c>
      <c r="E28" s="1">
        <v>888.33</v>
      </c>
      <c r="F28" s="1">
        <v>601984000</v>
      </c>
    </row>
    <row r="29" spans="1:6" ht="15.75" customHeight="1" x14ac:dyDescent="0.15">
      <c r="A29" s="3">
        <v>39955</v>
      </c>
      <c r="B29">
        <v>888.68</v>
      </c>
      <c r="C29" s="1">
        <v>896.65</v>
      </c>
      <c r="D29" s="1">
        <v>883.75</v>
      </c>
      <c r="E29" s="1">
        <v>887</v>
      </c>
      <c r="F29" s="1">
        <v>515532000</v>
      </c>
    </row>
    <row r="30" spans="1:6" ht="15.75" customHeight="1" x14ac:dyDescent="0.15">
      <c r="A30" s="3">
        <v>39959</v>
      </c>
      <c r="B30">
        <v>887</v>
      </c>
      <c r="C30" s="1">
        <v>911.76</v>
      </c>
      <c r="D30" s="1">
        <v>881.46</v>
      </c>
      <c r="E30" s="1">
        <v>910.33</v>
      </c>
      <c r="F30" s="1">
        <v>566705024</v>
      </c>
    </row>
    <row r="31" spans="1:6" ht="15.75" customHeight="1" x14ac:dyDescent="0.15">
      <c r="A31" s="3">
        <v>39960</v>
      </c>
      <c r="B31">
        <v>909.95</v>
      </c>
      <c r="C31" s="1">
        <v>913.84</v>
      </c>
      <c r="D31" s="1">
        <v>891.87</v>
      </c>
      <c r="E31" s="1">
        <v>893.06</v>
      </c>
      <c r="F31" s="1">
        <v>569880000</v>
      </c>
    </row>
    <row r="32" spans="1:6" ht="15.75" customHeight="1" x14ac:dyDescent="0.15">
      <c r="A32" s="3">
        <v>39961</v>
      </c>
      <c r="B32">
        <v>892.96</v>
      </c>
      <c r="C32" s="1">
        <v>909.45</v>
      </c>
      <c r="D32" s="1">
        <v>887.6</v>
      </c>
      <c r="E32" s="1">
        <v>906.83</v>
      </c>
      <c r="F32" s="1">
        <v>573897984</v>
      </c>
    </row>
    <row r="33" spans="1:6" ht="15.75" customHeight="1" x14ac:dyDescent="0.15">
      <c r="A33" s="3">
        <v>39962</v>
      </c>
      <c r="B33">
        <v>907.02</v>
      </c>
      <c r="C33" s="1">
        <v>920.02</v>
      </c>
      <c r="D33" s="1">
        <v>903.56</v>
      </c>
      <c r="E33" s="1">
        <v>919.14</v>
      </c>
      <c r="F33" s="1">
        <v>605041984</v>
      </c>
    </row>
    <row r="34" spans="1:6" ht="15.75" customHeight="1" x14ac:dyDescent="0.15">
      <c r="A34" s="3">
        <v>39965</v>
      </c>
      <c r="B34">
        <v>923.26</v>
      </c>
      <c r="C34" s="1">
        <v>947.77</v>
      </c>
      <c r="D34" s="1">
        <v>923.26</v>
      </c>
      <c r="E34" s="1">
        <v>942.87</v>
      </c>
      <c r="F34" s="1">
        <v>637043968</v>
      </c>
    </row>
    <row r="35" spans="1:6" ht="15.75" customHeight="1" x14ac:dyDescent="0.15">
      <c r="A35" s="3">
        <v>39966</v>
      </c>
      <c r="B35">
        <v>942.87</v>
      </c>
      <c r="C35" s="1">
        <v>949.38</v>
      </c>
      <c r="D35" s="1">
        <v>938.46</v>
      </c>
      <c r="E35" s="1">
        <v>944.74</v>
      </c>
      <c r="F35" s="1">
        <v>598734016</v>
      </c>
    </row>
    <row r="36" spans="1:6" ht="15.75" customHeight="1" x14ac:dyDescent="0.15">
      <c r="A36" s="3">
        <v>39967</v>
      </c>
      <c r="B36">
        <v>942.51</v>
      </c>
      <c r="C36" s="1">
        <v>942.51</v>
      </c>
      <c r="D36" s="1">
        <v>923.85</v>
      </c>
      <c r="E36" s="1">
        <v>931.76</v>
      </c>
      <c r="F36" s="1">
        <v>532376992</v>
      </c>
    </row>
    <row r="37" spans="1:6" ht="15.75" customHeight="1" x14ac:dyDescent="0.15">
      <c r="A37" s="3">
        <v>39968</v>
      </c>
      <c r="B37">
        <v>932.49</v>
      </c>
      <c r="C37" s="1">
        <v>942.47</v>
      </c>
      <c r="D37" s="1">
        <v>929.32</v>
      </c>
      <c r="E37" s="1">
        <v>942.46</v>
      </c>
      <c r="F37" s="1">
        <v>535288992</v>
      </c>
    </row>
    <row r="38" spans="1:6" ht="15.75" customHeight="1" x14ac:dyDescent="0.15">
      <c r="A38" s="3">
        <v>39969</v>
      </c>
      <c r="B38">
        <v>945.67</v>
      </c>
      <c r="C38" s="1">
        <v>951.69</v>
      </c>
      <c r="D38" s="1">
        <v>934.13</v>
      </c>
      <c r="E38" s="1">
        <v>940.09</v>
      </c>
      <c r="F38" s="1">
        <v>527791008</v>
      </c>
    </row>
    <row r="39" spans="1:6" ht="15.75" customHeight="1" x14ac:dyDescent="0.15">
      <c r="A39" s="3">
        <v>39972</v>
      </c>
      <c r="B39">
        <v>938.12</v>
      </c>
      <c r="C39" s="1">
        <v>946.33</v>
      </c>
      <c r="D39" s="1">
        <v>926.44</v>
      </c>
      <c r="E39" s="1">
        <v>939.14</v>
      </c>
      <c r="F39" s="1">
        <v>448343008</v>
      </c>
    </row>
    <row r="40" spans="1:6" ht="13" x14ac:dyDescent="0.15">
      <c r="A40" s="3">
        <v>39973</v>
      </c>
      <c r="B40">
        <v>940.35</v>
      </c>
      <c r="C40" s="1">
        <v>946.92</v>
      </c>
      <c r="D40" s="1">
        <v>936.15</v>
      </c>
      <c r="E40" s="1">
        <v>942.43</v>
      </c>
      <c r="F40" s="1">
        <v>443995008</v>
      </c>
    </row>
    <row r="41" spans="1:6" ht="13" x14ac:dyDescent="0.15">
      <c r="A41" s="3">
        <v>39974</v>
      </c>
      <c r="B41">
        <v>942.73</v>
      </c>
      <c r="C41" s="1">
        <v>949.77</v>
      </c>
      <c r="D41" s="1">
        <v>927.97</v>
      </c>
      <c r="E41" s="1">
        <v>939.15</v>
      </c>
      <c r="F41" s="1">
        <v>537942016</v>
      </c>
    </row>
    <row r="42" spans="1:6" ht="13" x14ac:dyDescent="0.15">
      <c r="A42" s="3">
        <v>39975</v>
      </c>
      <c r="B42">
        <v>939.04</v>
      </c>
      <c r="C42" s="1">
        <v>956.23</v>
      </c>
      <c r="D42" s="1">
        <v>939.04</v>
      </c>
      <c r="E42" s="1">
        <v>944.89</v>
      </c>
      <c r="F42" s="1">
        <v>550083968</v>
      </c>
    </row>
    <row r="43" spans="1:6" ht="13" x14ac:dyDescent="0.15">
      <c r="A43" s="3">
        <v>39976</v>
      </c>
      <c r="B43">
        <v>943.44</v>
      </c>
      <c r="C43" s="1">
        <v>946.3</v>
      </c>
      <c r="D43" s="1">
        <v>935.66</v>
      </c>
      <c r="E43" s="1">
        <v>946.21</v>
      </c>
      <c r="F43" s="1">
        <v>452812000</v>
      </c>
    </row>
    <row r="44" spans="1:6" ht="13" x14ac:dyDescent="0.15">
      <c r="A44" s="3">
        <v>39979</v>
      </c>
      <c r="B44">
        <v>942.45</v>
      </c>
      <c r="C44" s="1">
        <v>942.45</v>
      </c>
      <c r="D44" s="1">
        <v>919.65</v>
      </c>
      <c r="E44" s="1">
        <v>923.72</v>
      </c>
      <c r="F44" s="1">
        <v>469788000</v>
      </c>
    </row>
    <row r="45" spans="1:6" ht="13" x14ac:dyDescent="0.15">
      <c r="A45" s="3">
        <v>39980</v>
      </c>
      <c r="B45">
        <v>925.6</v>
      </c>
      <c r="C45" s="1">
        <v>928</v>
      </c>
      <c r="D45" s="1">
        <v>911.6</v>
      </c>
      <c r="E45" s="1">
        <v>911.97</v>
      </c>
      <c r="F45" s="1">
        <v>495120000</v>
      </c>
    </row>
    <row r="46" spans="1:6" ht="13" x14ac:dyDescent="0.15">
      <c r="A46" s="3">
        <v>39981</v>
      </c>
      <c r="B46">
        <v>911.89</v>
      </c>
      <c r="C46" s="1">
        <v>918.44</v>
      </c>
      <c r="D46" s="1">
        <v>903.78</v>
      </c>
      <c r="E46" s="1">
        <v>910.71</v>
      </c>
      <c r="F46" s="1">
        <v>552364992</v>
      </c>
    </row>
    <row r="47" spans="1:6" ht="13" x14ac:dyDescent="0.15">
      <c r="A47" s="3">
        <v>39982</v>
      </c>
      <c r="B47">
        <v>910.86</v>
      </c>
      <c r="C47" s="1">
        <v>921.93</v>
      </c>
      <c r="D47" s="1">
        <v>907.94</v>
      </c>
      <c r="E47" s="1">
        <v>918.37</v>
      </c>
      <c r="F47" s="1">
        <v>468400992</v>
      </c>
    </row>
    <row r="48" spans="1:6" ht="13" x14ac:dyDescent="0.15">
      <c r="A48" s="3">
        <v>39983</v>
      </c>
      <c r="B48">
        <v>919.96</v>
      </c>
      <c r="C48" s="1">
        <v>927.09</v>
      </c>
      <c r="D48" s="1">
        <v>915.8</v>
      </c>
      <c r="E48" s="1">
        <v>921.23</v>
      </c>
      <c r="F48" s="1">
        <v>571339008</v>
      </c>
    </row>
    <row r="49" spans="1:6" ht="13" x14ac:dyDescent="0.15">
      <c r="A49" s="3">
        <v>39986</v>
      </c>
      <c r="B49">
        <v>918.13</v>
      </c>
      <c r="C49" s="1">
        <v>918.13</v>
      </c>
      <c r="D49" s="1">
        <v>893.04</v>
      </c>
      <c r="E49" s="1">
        <v>893.04</v>
      </c>
      <c r="F49" s="1">
        <v>490393984</v>
      </c>
    </row>
    <row r="50" spans="1:6" ht="13" x14ac:dyDescent="0.15">
      <c r="A50" s="3">
        <v>39987</v>
      </c>
      <c r="B50">
        <v>893.46</v>
      </c>
      <c r="C50" s="1">
        <v>898.69</v>
      </c>
      <c r="D50" s="1">
        <v>888.86</v>
      </c>
      <c r="E50" s="1">
        <v>895.1</v>
      </c>
      <c r="F50" s="1">
        <v>507102016</v>
      </c>
    </row>
    <row r="51" spans="1:6" ht="13" x14ac:dyDescent="0.15">
      <c r="A51" s="3">
        <v>39988</v>
      </c>
      <c r="B51">
        <v>896.31</v>
      </c>
      <c r="C51" s="1">
        <v>910.85</v>
      </c>
      <c r="D51" s="1">
        <v>896.31</v>
      </c>
      <c r="E51" s="1">
        <v>900.94</v>
      </c>
      <c r="F51" s="1">
        <v>463672000</v>
      </c>
    </row>
    <row r="52" spans="1:6" ht="13" x14ac:dyDescent="0.15">
      <c r="A52" s="3">
        <v>39989</v>
      </c>
      <c r="B52">
        <v>899.45</v>
      </c>
      <c r="C52" s="1">
        <v>921.42</v>
      </c>
      <c r="D52" s="1">
        <v>896.27</v>
      </c>
      <c r="E52" s="1">
        <v>920.26</v>
      </c>
      <c r="F52" s="1">
        <v>491124000</v>
      </c>
    </row>
    <row r="53" spans="1:6" ht="13" x14ac:dyDescent="0.15">
      <c r="A53" s="3">
        <v>39990</v>
      </c>
      <c r="B53">
        <v>918.84</v>
      </c>
      <c r="C53" s="1">
        <v>922</v>
      </c>
      <c r="D53" s="1">
        <v>913.03</v>
      </c>
      <c r="E53" s="1">
        <v>918.9</v>
      </c>
      <c r="F53" s="1">
        <v>607665984</v>
      </c>
    </row>
    <row r="54" spans="1:6" ht="13" x14ac:dyDescent="0.15">
      <c r="A54" s="3">
        <v>39993</v>
      </c>
      <c r="B54">
        <v>919.86</v>
      </c>
      <c r="C54" s="1">
        <v>927.99</v>
      </c>
      <c r="D54" s="1">
        <v>916.18</v>
      </c>
      <c r="E54" s="1">
        <v>927.23</v>
      </c>
      <c r="F54" s="1">
        <v>421176000</v>
      </c>
    </row>
    <row r="55" spans="1:6" ht="13" x14ac:dyDescent="0.15">
      <c r="A55" s="3">
        <v>39994</v>
      </c>
      <c r="B55">
        <v>927.15</v>
      </c>
      <c r="C55" s="1">
        <v>930.01</v>
      </c>
      <c r="D55" s="1">
        <v>912.86</v>
      </c>
      <c r="E55" s="1">
        <v>919.32</v>
      </c>
      <c r="F55" s="1">
        <v>462756992</v>
      </c>
    </row>
    <row r="56" spans="1:6" ht="13" x14ac:dyDescent="0.15">
      <c r="A56" s="3">
        <v>39995</v>
      </c>
      <c r="B56">
        <v>920.82</v>
      </c>
      <c r="C56" s="1">
        <v>931.92</v>
      </c>
      <c r="D56" s="1">
        <v>920.82</v>
      </c>
      <c r="E56" s="1">
        <v>923.33</v>
      </c>
      <c r="F56" s="1">
        <v>391940000</v>
      </c>
    </row>
    <row r="57" spans="1:6" ht="13" x14ac:dyDescent="0.15">
      <c r="A57" s="3">
        <v>39996</v>
      </c>
      <c r="B57">
        <v>921.24</v>
      </c>
      <c r="C57" s="1">
        <v>921.24</v>
      </c>
      <c r="D57" s="1">
        <v>896.42</v>
      </c>
      <c r="E57" s="1">
        <v>896.42</v>
      </c>
      <c r="F57" s="1">
        <v>393100000</v>
      </c>
    </row>
    <row r="58" spans="1:6" ht="13" x14ac:dyDescent="0.15">
      <c r="A58" s="3">
        <v>40000</v>
      </c>
      <c r="B58">
        <v>894.27</v>
      </c>
      <c r="C58" s="1">
        <v>898.72</v>
      </c>
      <c r="D58" s="1">
        <v>886.36</v>
      </c>
      <c r="E58" s="1">
        <v>898.72</v>
      </c>
      <c r="F58" s="1">
        <v>471257984</v>
      </c>
    </row>
    <row r="59" spans="1:6" ht="13" x14ac:dyDescent="0.15">
      <c r="A59" s="3">
        <v>40001</v>
      </c>
      <c r="B59">
        <v>898.6</v>
      </c>
      <c r="C59" s="1">
        <v>898.6</v>
      </c>
      <c r="D59" s="1">
        <v>879.93</v>
      </c>
      <c r="E59" s="1">
        <v>881.03</v>
      </c>
      <c r="F59" s="1">
        <v>467329984</v>
      </c>
    </row>
    <row r="60" spans="1:6" ht="13" x14ac:dyDescent="0.15">
      <c r="A60" s="3">
        <v>40002</v>
      </c>
      <c r="B60">
        <v>881.9</v>
      </c>
      <c r="C60" s="1">
        <v>886.8</v>
      </c>
      <c r="D60" s="1">
        <v>869.32</v>
      </c>
      <c r="E60" s="1">
        <v>879.56</v>
      </c>
      <c r="F60" s="1">
        <v>572177984</v>
      </c>
    </row>
    <row r="61" spans="1:6" ht="13" x14ac:dyDescent="0.15">
      <c r="A61" s="3">
        <v>40003</v>
      </c>
      <c r="B61">
        <v>881.28</v>
      </c>
      <c r="C61" s="1">
        <v>887.86</v>
      </c>
      <c r="D61" s="1">
        <v>878.45</v>
      </c>
      <c r="E61" s="1">
        <v>882.68</v>
      </c>
      <c r="F61" s="1">
        <v>434716992</v>
      </c>
    </row>
    <row r="62" spans="1:6" ht="13" x14ac:dyDescent="0.15">
      <c r="A62" s="3">
        <v>40004</v>
      </c>
      <c r="B62">
        <v>880.03</v>
      </c>
      <c r="C62" s="1">
        <v>883.57</v>
      </c>
      <c r="D62" s="1">
        <v>872.81</v>
      </c>
      <c r="E62" s="1">
        <v>879.13</v>
      </c>
      <c r="F62" s="1">
        <v>391208000</v>
      </c>
    </row>
    <row r="63" spans="1:6" ht="13" x14ac:dyDescent="0.15">
      <c r="A63" s="3">
        <v>40007</v>
      </c>
      <c r="B63">
        <v>879.57</v>
      </c>
      <c r="C63" s="1">
        <v>901.05</v>
      </c>
      <c r="D63" s="1">
        <v>875.32</v>
      </c>
      <c r="E63" s="1">
        <v>901.05</v>
      </c>
      <c r="F63" s="1">
        <v>449944000</v>
      </c>
    </row>
    <row r="64" spans="1:6" ht="13" x14ac:dyDescent="0.15">
      <c r="A64" s="3">
        <v>40008</v>
      </c>
      <c r="B64">
        <v>900.77</v>
      </c>
      <c r="C64" s="1">
        <v>905.84</v>
      </c>
      <c r="D64" s="1">
        <v>896.5</v>
      </c>
      <c r="E64" s="1">
        <v>905.84</v>
      </c>
      <c r="F64" s="1">
        <v>414903008</v>
      </c>
    </row>
    <row r="65" spans="1:6" ht="13" x14ac:dyDescent="0.15">
      <c r="A65" s="3">
        <v>40009</v>
      </c>
      <c r="B65">
        <v>910.15</v>
      </c>
      <c r="C65" s="1">
        <v>933.95</v>
      </c>
      <c r="D65" s="1">
        <v>910.15</v>
      </c>
      <c r="E65" s="1">
        <v>932.68</v>
      </c>
      <c r="F65" s="1">
        <v>523883008</v>
      </c>
    </row>
    <row r="66" spans="1:6" ht="13" x14ac:dyDescent="0.15">
      <c r="A66" s="3">
        <v>40010</v>
      </c>
      <c r="B66">
        <v>930.17</v>
      </c>
      <c r="C66" s="1">
        <v>943.96</v>
      </c>
      <c r="D66" s="1">
        <v>927.45</v>
      </c>
      <c r="E66" s="1">
        <v>940.74</v>
      </c>
      <c r="F66" s="1">
        <v>489864000</v>
      </c>
    </row>
    <row r="67" spans="1:6" ht="13" x14ac:dyDescent="0.15">
      <c r="A67" s="3">
        <v>40011</v>
      </c>
      <c r="B67">
        <v>940.56</v>
      </c>
      <c r="C67" s="1">
        <v>941.89</v>
      </c>
      <c r="D67" s="1">
        <v>934.65</v>
      </c>
      <c r="E67" s="1">
        <v>940.38</v>
      </c>
      <c r="F67" s="1">
        <v>514137984</v>
      </c>
    </row>
    <row r="68" spans="1:6" ht="13" x14ac:dyDescent="0.15">
      <c r="A68" s="3">
        <v>40014</v>
      </c>
      <c r="B68">
        <v>942.07</v>
      </c>
      <c r="C68" s="1">
        <v>951.62</v>
      </c>
      <c r="D68" s="1">
        <v>940.99</v>
      </c>
      <c r="E68" s="1">
        <v>951.13</v>
      </c>
      <c r="F68" s="1">
        <v>485315008</v>
      </c>
    </row>
    <row r="69" spans="1:6" ht="13" x14ac:dyDescent="0.15">
      <c r="A69" s="3">
        <v>40015</v>
      </c>
      <c r="B69">
        <v>951.97</v>
      </c>
      <c r="C69" s="1">
        <v>956.53</v>
      </c>
      <c r="D69" s="1">
        <v>943.22</v>
      </c>
      <c r="E69" s="1">
        <v>954.58</v>
      </c>
      <c r="F69" s="1">
        <v>530929984</v>
      </c>
    </row>
    <row r="70" spans="1:6" ht="13" x14ac:dyDescent="0.15">
      <c r="A70" s="3">
        <v>40016</v>
      </c>
      <c r="B70">
        <v>953.4</v>
      </c>
      <c r="C70" s="1">
        <v>959.83</v>
      </c>
      <c r="D70" s="1">
        <v>947.75</v>
      </c>
      <c r="E70" s="1">
        <v>954.07</v>
      </c>
      <c r="F70" s="1">
        <v>463409984</v>
      </c>
    </row>
    <row r="71" spans="1:6" ht="13" x14ac:dyDescent="0.15">
      <c r="A71" s="3">
        <v>40017</v>
      </c>
      <c r="B71">
        <v>954.07</v>
      </c>
      <c r="C71" s="1">
        <v>979.42</v>
      </c>
      <c r="D71" s="1">
        <v>953.27</v>
      </c>
      <c r="E71" s="1">
        <v>976.29</v>
      </c>
      <c r="F71" s="1">
        <v>576164992</v>
      </c>
    </row>
    <row r="72" spans="1:6" ht="13" x14ac:dyDescent="0.15">
      <c r="A72" s="3">
        <v>40018</v>
      </c>
      <c r="B72">
        <v>972.16</v>
      </c>
      <c r="C72" s="1">
        <v>979.79</v>
      </c>
      <c r="D72" s="1">
        <v>965.95</v>
      </c>
      <c r="E72" s="1">
        <v>979.26</v>
      </c>
      <c r="F72" s="1">
        <v>445830016</v>
      </c>
    </row>
    <row r="73" spans="1:6" ht="13" x14ac:dyDescent="0.15">
      <c r="A73" s="3">
        <v>40021</v>
      </c>
      <c r="B73">
        <v>978.63</v>
      </c>
      <c r="C73" s="1">
        <v>982.49</v>
      </c>
      <c r="D73" s="1">
        <v>972.29</v>
      </c>
      <c r="E73" s="1">
        <v>982.18</v>
      </c>
      <c r="F73" s="1">
        <v>463128992</v>
      </c>
    </row>
    <row r="74" spans="1:6" ht="13" x14ac:dyDescent="0.15">
      <c r="A74" s="3">
        <v>40022</v>
      </c>
      <c r="B74">
        <v>981.48</v>
      </c>
      <c r="C74" s="1">
        <v>982.35</v>
      </c>
      <c r="D74" s="1">
        <v>969.35</v>
      </c>
      <c r="E74" s="1">
        <v>979.62</v>
      </c>
      <c r="F74" s="1">
        <v>549035008</v>
      </c>
    </row>
    <row r="75" spans="1:6" ht="13" x14ac:dyDescent="0.15">
      <c r="A75" s="3">
        <v>40023</v>
      </c>
      <c r="B75">
        <v>977.66</v>
      </c>
      <c r="C75" s="1">
        <v>977.76</v>
      </c>
      <c r="D75" s="1">
        <v>968.65</v>
      </c>
      <c r="E75" s="1">
        <v>975.15</v>
      </c>
      <c r="F75" s="1">
        <v>517876992</v>
      </c>
    </row>
    <row r="76" spans="1:6" ht="13" x14ac:dyDescent="0.15">
      <c r="A76" s="3">
        <v>40024</v>
      </c>
      <c r="B76">
        <v>976.01</v>
      </c>
      <c r="C76" s="1">
        <v>996.68</v>
      </c>
      <c r="D76" s="1">
        <v>976.01</v>
      </c>
      <c r="E76" s="1">
        <v>986.75</v>
      </c>
      <c r="F76" s="1">
        <v>603518016</v>
      </c>
    </row>
    <row r="77" spans="1:6" ht="13" x14ac:dyDescent="0.15">
      <c r="A77" s="3">
        <v>40025</v>
      </c>
      <c r="B77">
        <v>986.8</v>
      </c>
      <c r="C77" s="1">
        <v>993.18</v>
      </c>
      <c r="D77" s="1">
        <v>982.85</v>
      </c>
      <c r="E77" s="1">
        <v>987.48</v>
      </c>
      <c r="F77" s="1">
        <v>513907008</v>
      </c>
    </row>
    <row r="78" spans="1:6" ht="13" x14ac:dyDescent="0.15">
      <c r="A78" s="3">
        <v>40028</v>
      </c>
      <c r="B78">
        <v>990.22</v>
      </c>
      <c r="C78" s="1">
        <v>1003.61</v>
      </c>
      <c r="D78" s="1">
        <v>990.22</v>
      </c>
      <c r="E78" s="1">
        <v>1002.63</v>
      </c>
      <c r="F78" s="1">
        <v>560344000</v>
      </c>
    </row>
    <row r="79" spans="1:6" ht="13" x14ac:dyDescent="0.15">
      <c r="A79" s="3">
        <v>40029</v>
      </c>
      <c r="B79">
        <v>1001.41</v>
      </c>
      <c r="C79" s="1">
        <v>1007.12</v>
      </c>
      <c r="D79" s="1">
        <v>996.68</v>
      </c>
      <c r="E79" s="1">
        <v>1005.65</v>
      </c>
      <c r="F79" s="1">
        <v>571369984</v>
      </c>
    </row>
    <row r="80" spans="1:6" ht="13" x14ac:dyDescent="0.15">
      <c r="A80" s="3">
        <v>40030</v>
      </c>
      <c r="B80">
        <v>1005.41</v>
      </c>
      <c r="C80" s="1">
        <v>1006.64</v>
      </c>
      <c r="D80" s="1">
        <v>994.31</v>
      </c>
      <c r="E80" s="1">
        <v>1002.72</v>
      </c>
      <c r="F80" s="1">
        <v>324212000</v>
      </c>
    </row>
    <row r="81" spans="1:6" ht="13" x14ac:dyDescent="0.15">
      <c r="A81" s="3">
        <v>40031</v>
      </c>
      <c r="B81">
        <v>1004.06</v>
      </c>
      <c r="C81" s="1">
        <v>1008</v>
      </c>
      <c r="D81" s="1">
        <v>992.49</v>
      </c>
      <c r="E81" s="1">
        <v>997.08</v>
      </c>
      <c r="F81" s="1">
        <v>675337984</v>
      </c>
    </row>
    <row r="82" spans="1:6" ht="13" x14ac:dyDescent="0.15">
      <c r="A82" s="3">
        <v>40032</v>
      </c>
      <c r="B82">
        <v>999.83</v>
      </c>
      <c r="C82" s="1">
        <v>1018</v>
      </c>
      <c r="D82" s="1">
        <v>999.83</v>
      </c>
      <c r="E82" s="1">
        <v>1010.48</v>
      </c>
      <c r="F82" s="1">
        <v>682708992</v>
      </c>
    </row>
    <row r="83" spans="1:6" ht="13" x14ac:dyDescent="0.15">
      <c r="A83" s="3">
        <v>40035</v>
      </c>
      <c r="B83">
        <v>1008.89</v>
      </c>
      <c r="C83" s="1">
        <v>1010.12</v>
      </c>
      <c r="D83" s="1">
        <v>1000.99</v>
      </c>
      <c r="E83" s="1">
        <v>1007.1</v>
      </c>
      <c r="F83" s="1">
        <v>540608000</v>
      </c>
    </row>
    <row r="84" spans="1:6" ht="13" x14ac:dyDescent="0.15">
      <c r="A84" s="3">
        <v>40036</v>
      </c>
      <c r="B84">
        <v>1005.77</v>
      </c>
      <c r="C84" s="1">
        <v>1005.77</v>
      </c>
      <c r="D84" s="1">
        <v>992.4</v>
      </c>
      <c r="E84" s="1">
        <v>994.35</v>
      </c>
      <c r="F84" s="1">
        <v>577315968</v>
      </c>
    </row>
    <row r="85" spans="1:6" ht="13" x14ac:dyDescent="0.15">
      <c r="A85" s="3">
        <v>40037</v>
      </c>
      <c r="B85">
        <v>994</v>
      </c>
      <c r="C85" s="1">
        <v>1012.78</v>
      </c>
      <c r="D85" s="1">
        <v>993.36</v>
      </c>
      <c r="E85" s="1">
        <v>1005.81</v>
      </c>
      <c r="F85" s="1">
        <v>549817024</v>
      </c>
    </row>
    <row r="86" spans="1:6" ht="13" x14ac:dyDescent="0.15">
      <c r="A86" s="3">
        <v>40038</v>
      </c>
      <c r="B86">
        <v>1005.86</v>
      </c>
      <c r="C86" s="1">
        <v>1013.14</v>
      </c>
      <c r="D86" s="1">
        <v>1000.82</v>
      </c>
      <c r="E86" s="1">
        <v>1012.73</v>
      </c>
      <c r="F86" s="1">
        <v>525065984</v>
      </c>
    </row>
    <row r="87" spans="1:6" ht="13" x14ac:dyDescent="0.15">
      <c r="A87" s="3">
        <v>40039</v>
      </c>
      <c r="B87">
        <v>1012.23</v>
      </c>
      <c r="C87" s="1">
        <v>1012.6</v>
      </c>
      <c r="D87" s="1">
        <v>994.6</v>
      </c>
      <c r="E87" s="1">
        <v>1004.09</v>
      </c>
      <c r="F87" s="1">
        <v>494075008</v>
      </c>
    </row>
    <row r="88" spans="1:6" ht="13" x14ac:dyDescent="0.15">
      <c r="A88" s="3">
        <v>40042</v>
      </c>
      <c r="B88">
        <v>998.18</v>
      </c>
      <c r="C88" s="1">
        <v>998.18</v>
      </c>
      <c r="D88" s="1">
        <v>978.51</v>
      </c>
      <c r="E88" s="1">
        <v>979.73</v>
      </c>
      <c r="F88" s="1">
        <v>408856992</v>
      </c>
    </row>
    <row r="89" spans="1:6" ht="13" x14ac:dyDescent="0.15">
      <c r="A89" s="3">
        <v>40043</v>
      </c>
      <c r="B89">
        <v>980.62</v>
      </c>
      <c r="C89" s="1">
        <v>991.2</v>
      </c>
      <c r="D89" s="1">
        <v>980.62</v>
      </c>
      <c r="E89" s="1">
        <v>989.67</v>
      </c>
      <c r="F89" s="1">
        <v>419896992</v>
      </c>
    </row>
    <row r="90" spans="1:6" ht="13" x14ac:dyDescent="0.15">
      <c r="A90" s="3">
        <v>40044</v>
      </c>
      <c r="B90">
        <v>986.88</v>
      </c>
      <c r="C90" s="1">
        <v>999.61</v>
      </c>
      <c r="D90" s="1">
        <v>980.62</v>
      </c>
      <c r="E90" s="1">
        <v>996.46</v>
      </c>
      <c r="F90" s="1">
        <v>425700000</v>
      </c>
    </row>
    <row r="91" spans="1:6" ht="13" x14ac:dyDescent="0.15">
      <c r="A91" s="3">
        <v>40045</v>
      </c>
      <c r="B91">
        <v>996.41</v>
      </c>
      <c r="C91" s="1">
        <v>1008.92</v>
      </c>
      <c r="D91" s="1">
        <v>996.39</v>
      </c>
      <c r="E91" s="1">
        <v>1007.37</v>
      </c>
      <c r="F91" s="1">
        <v>489316000</v>
      </c>
    </row>
    <row r="92" spans="1:6" ht="13" x14ac:dyDescent="0.15">
      <c r="A92" s="3">
        <v>40046</v>
      </c>
      <c r="B92">
        <v>1009.06</v>
      </c>
      <c r="C92" s="1">
        <v>1027.5899999999999</v>
      </c>
      <c r="D92" s="1">
        <v>1009.06</v>
      </c>
      <c r="E92" s="1">
        <v>1026.1300000000001</v>
      </c>
      <c r="F92" s="1">
        <v>588555008</v>
      </c>
    </row>
    <row r="93" spans="1:6" ht="13" x14ac:dyDescent="0.15">
      <c r="A93" s="3">
        <v>40049</v>
      </c>
      <c r="B93">
        <v>1026.5899999999999</v>
      </c>
      <c r="C93" s="1">
        <v>1035.81</v>
      </c>
      <c r="D93" s="1">
        <v>1022.48</v>
      </c>
      <c r="E93" s="1">
        <v>1025.56</v>
      </c>
      <c r="F93" s="1">
        <v>630244992</v>
      </c>
    </row>
    <row r="94" spans="1:6" ht="13" x14ac:dyDescent="0.15">
      <c r="A94" s="3">
        <v>40050</v>
      </c>
      <c r="B94">
        <v>1026.6300000000001</v>
      </c>
      <c r="C94" s="1">
        <v>1037.75</v>
      </c>
      <c r="D94" s="1">
        <v>1026.21</v>
      </c>
      <c r="E94" s="1">
        <v>1028</v>
      </c>
      <c r="F94" s="1">
        <v>576873984</v>
      </c>
    </row>
    <row r="95" spans="1:6" ht="13" x14ac:dyDescent="0.15">
      <c r="A95" s="3">
        <v>40051</v>
      </c>
      <c r="B95">
        <v>1027.3499999999999</v>
      </c>
      <c r="C95" s="1">
        <v>1032.47</v>
      </c>
      <c r="D95" s="1">
        <v>1021.57</v>
      </c>
      <c r="E95" s="1">
        <v>1028.1199999999999</v>
      </c>
      <c r="F95" s="1">
        <v>508006016</v>
      </c>
    </row>
    <row r="96" spans="1:6" ht="13" x14ac:dyDescent="0.15">
      <c r="A96" s="3">
        <v>40052</v>
      </c>
      <c r="B96">
        <v>1027.81</v>
      </c>
      <c r="C96" s="1">
        <v>1033.32</v>
      </c>
      <c r="D96" s="1">
        <v>1016.2</v>
      </c>
      <c r="E96" s="1">
        <v>1030.98</v>
      </c>
      <c r="F96" s="1">
        <v>578588032</v>
      </c>
    </row>
    <row r="97" spans="1:6" ht="13" x14ac:dyDescent="0.15">
      <c r="A97" s="3">
        <v>40053</v>
      </c>
      <c r="B97">
        <v>1031.6199999999999</v>
      </c>
      <c r="C97" s="1">
        <v>1039.47</v>
      </c>
      <c r="D97" s="1">
        <v>1023.13</v>
      </c>
      <c r="E97" s="1">
        <v>1028.93</v>
      </c>
      <c r="F97" s="1">
        <v>578577984</v>
      </c>
    </row>
    <row r="98" spans="1:6" ht="13" x14ac:dyDescent="0.15">
      <c r="A98" s="3">
        <v>40056</v>
      </c>
      <c r="B98">
        <v>1025.21</v>
      </c>
      <c r="C98" s="1">
        <v>1025.21</v>
      </c>
      <c r="D98" s="1">
        <v>1014.62</v>
      </c>
      <c r="E98" s="1">
        <v>1020.62</v>
      </c>
      <c r="F98" s="1">
        <v>500456000</v>
      </c>
    </row>
    <row r="99" spans="1:6" ht="13" x14ac:dyDescent="0.15">
      <c r="A99" s="3">
        <v>40057</v>
      </c>
      <c r="B99">
        <v>1019.52</v>
      </c>
      <c r="C99" s="1">
        <v>1028.44</v>
      </c>
      <c r="D99" s="1">
        <v>996.28</v>
      </c>
      <c r="E99" s="1">
        <v>998.04</v>
      </c>
      <c r="F99" s="1">
        <v>686236032</v>
      </c>
    </row>
    <row r="100" spans="1:6" ht="13" x14ac:dyDescent="0.15">
      <c r="A100" s="3">
        <v>40058</v>
      </c>
      <c r="B100">
        <v>996.07</v>
      </c>
      <c r="C100" s="1">
        <v>1000.34</v>
      </c>
      <c r="D100" s="1">
        <v>991.97</v>
      </c>
      <c r="E100" s="1">
        <v>994.75</v>
      </c>
      <c r="F100" s="1">
        <v>584273024</v>
      </c>
    </row>
    <row r="101" spans="1:6" ht="13" x14ac:dyDescent="0.15">
      <c r="A101" s="3">
        <v>40059</v>
      </c>
      <c r="B101">
        <v>996.12</v>
      </c>
      <c r="C101" s="1">
        <v>1003.43</v>
      </c>
      <c r="D101" s="1">
        <v>992.25</v>
      </c>
      <c r="E101" s="1">
        <v>1003.24</v>
      </c>
      <c r="F101" s="1">
        <v>462428000</v>
      </c>
    </row>
    <row r="102" spans="1:6" ht="13" x14ac:dyDescent="0.15">
      <c r="A102" s="3">
        <v>40060</v>
      </c>
      <c r="B102">
        <v>1003.84</v>
      </c>
      <c r="C102" s="1">
        <v>1016.48</v>
      </c>
      <c r="D102" s="1">
        <v>1001.65</v>
      </c>
      <c r="E102" s="1">
        <v>1016.4</v>
      </c>
      <c r="F102" s="1">
        <v>409736992</v>
      </c>
    </row>
    <row r="103" spans="1:6" ht="13" x14ac:dyDescent="0.15">
      <c r="A103" s="3">
        <v>40064</v>
      </c>
      <c r="B103">
        <v>1018.67</v>
      </c>
      <c r="C103" s="1">
        <v>1026.06</v>
      </c>
      <c r="D103" s="1">
        <v>1018.67</v>
      </c>
      <c r="E103" s="1">
        <v>1025.3900000000001</v>
      </c>
      <c r="F103" s="1">
        <v>523516000</v>
      </c>
    </row>
    <row r="104" spans="1:6" ht="13" x14ac:dyDescent="0.15">
      <c r="A104" s="3">
        <v>40065</v>
      </c>
      <c r="B104">
        <v>1025.3599999999999</v>
      </c>
      <c r="C104" s="1">
        <v>1036.3399999999999</v>
      </c>
      <c r="D104" s="1">
        <v>1023.97</v>
      </c>
      <c r="E104" s="1">
        <v>1033.3699999999999</v>
      </c>
      <c r="F104" s="1">
        <v>520255008</v>
      </c>
    </row>
    <row r="105" spans="1:6" ht="13" x14ac:dyDescent="0.15">
      <c r="A105" s="3">
        <v>40066</v>
      </c>
      <c r="B105">
        <v>1032.99</v>
      </c>
      <c r="C105" s="1">
        <v>1044.1400000000001</v>
      </c>
      <c r="D105" s="1">
        <v>1028.04</v>
      </c>
      <c r="E105" s="1">
        <v>1044.1400000000001</v>
      </c>
      <c r="F105" s="1">
        <v>519137984</v>
      </c>
    </row>
    <row r="106" spans="1:6" ht="13" x14ac:dyDescent="0.15">
      <c r="A106" s="3">
        <v>40067</v>
      </c>
      <c r="B106">
        <v>1043.92</v>
      </c>
      <c r="C106" s="1">
        <v>1048.18</v>
      </c>
      <c r="D106" s="1">
        <v>1038.4000000000001</v>
      </c>
      <c r="E106" s="1">
        <v>1042.73</v>
      </c>
      <c r="F106" s="1">
        <v>492260000</v>
      </c>
    </row>
    <row r="107" spans="1:6" ht="13" x14ac:dyDescent="0.15">
      <c r="A107" s="3">
        <v>40070</v>
      </c>
      <c r="B107">
        <v>1040.1500000000001</v>
      </c>
      <c r="C107" s="1">
        <v>1049.74</v>
      </c>
      <c r="D107" s="1">
        <v>1035</v>
      </c>
      <c r="E107" s="1">
        <v>1049.3399999999999</v>
      </c>
      <c r="F107" s="1">
        <v>497960992</v>
      </c>
    </row>
    <row r="108" spans="1:6" ht="13" x14ac:dyDescent="0.15">
      <c r="A108" s="3">
        <v>40071</v>
      </c>
      <c r="B108">
        <v>1049.03</v>
      </c>
      <c r="C108" s="1">
        <v>1056.04</v>
      </c>
      <c r="D108" s="1">
        <v>1043.42</v>
      </c>
      <c r="E108" s="1">
        <v>1052.6300000000001</v>
      </c>
      <c r="F108" s="1">
        <v>618561984</v>
      </c>
    </row>
    <row r="109" spans="1:6" ht="13" x14ac:dyDescent="0.15">
      <c r="A109" s="3">
        <v>40072</v>
      </c>
      <c r="B109">
        <v>1053.99</v>
      </c>
      <c r="C109" s="1">
        <v>1068.76</v>
      </c>
      <c r="D109" s="1">
        <v>1052.8699999999999</v>
      </c>
      <c r="E109" s="1">
        <v>1068.76</v>
      </c>
      <c r="F109" s="1">
        <v>679352960</v>
      </c>
    </row>
    <row r="110" spans="1:6" ht="13" x14ac:dyDescent="0.15">
      <c r="A110" s="3">
        <v>40073</v>
      </c>
      <c r="B110">
        <v>1067.8699999999999</v>
      </c>
      <c r="C110" s="1">
        <v>1074.77</v>
      </c>
      <c r="D110" s="1">
        <v>1061.19</v>
      </c>
      <c r="E110" s="1">
        <v>1065.49</v>
      </c>
      <c r="F110" s="1">
        <v>666811008</v>
      </c>
    </row>
    <row r="111" spans="1:6" ht="13" x14ac:dyDescent="0.15">
      <c r="A111" s="3">
        <v>40074</v>
      </c>
      <c r="B111">
        <v>1066.5999999999999</v>
      </c>
      <c r="C111" s="1">
        <v>1071.52</v>
      </c>
      <c r="D111" s="1">
        <v>1064.27</v>
      </c>
      <c r="E111" s="1">
        <v>1068.3</v>
      </c>
      <c r="F111" s="1">
        <v>560796992</v>
      </c>
    </row>
    <row r="112" spans="1:6" ht="13" x14ac:dyDescent="0.15">
      <c r="A112" s="3">
        <v>40077</v>
      </c>
      <c r="B112">
        <v>1067.1400000000001</v>
      </c>
      <c r="C112" s="1">
        <v>1067.28</v>
      </c>
      <c r="D112" s="1">
        <v>1057.46</v>
      </c>
      <c r="E112" s="1">
        <v>1064.6600000000001</v>
      </c>
      <c r="F112" s="1">
        <v>461528000</v>
      </c>
    </row>
    <row r="113" spans="1:6" ht="13" x14ac:dyDescent="0.15">
      <c r="A113" s="3">
        <v>40078</v>
      </c>
      <c r="B113">
        <v>1066.3499999999999</v>
      </c>
      <c r="C113" s="1">
        <v>1073.81</v>
      </c>
      <c r="D113" s="1">
        <v>1066.3499999999999</v>
      </c>
      <c r="E113" s="1">
        <v>1071.6600000000001</v>
      </c>
      <c r="F113" s="1">
        <v>524660000</v>
      </c>
    </row>
    <row r="114" spans="1:6" ht="13" x14ac:dyDescent="0.15">
      <c r="A114" s="3">
        <v>40079</v>
      </c>
      <c r="B114">
        <v>1072.68</v>
      </c>
      <c r="C114" s="1">
        <v>1080.1500000000001</v>
      </c>
      <c r="D114" s="1">
        <v>1060.3900000000001</v>
      </c>
      <c r="E114" s="1">
        <v>1060.8699999999999</v>
      </c>
      <c r="F114" s="1">
        <v>553193024</v>
      </c>
    </row>
    <row r="115" spans="1:6" ht="13" x14ac:dyDescent="0.15">
      <c r="A115" s="3">
        <v>40080</v>
      </c>
      <c r="B115">
        <v>1062.56</v>
      </c>
      <c r="C115" s="1">
        <v>1066.29</v>
      </c>
      <c r="D115" s="1">
        <v>1045.8499999999999</v>
      </c>
      <c r="E115" s="1">
        <v>1050.78</v>
      </c>
      <c r="F115" s="1">
        <v>550561024</v>
      </c>
    </row>
    <row r="116" spans="1:6" ht="13" x14ac:dyDescent="0.15">
      <c r="A116" s="3">
        <v>40081</v>
      </c>
      <c r="B116">
        <v>1049.48</v>
      </c>
      <c r="C116" s="1">
        <v>1053.47</v>
      </c>
      <c r="D116" s="1">
        <v>1041.17</v>
      </c>
      <c r="E116" s="1">
        <v>1044.3800000000001</v>
      </c>
      <c r="F116" s="1">
        <v>450708992</v>
      </c>
    </row>
    <row r="117" spans="1:6" ht="13" x14ac:dyDescent="0.15">
      <c r="A117" s="3">
        <v>40084</v>
      </c>
      <c r="B117">
        <v>1045.3800000000001</v>
      </c>
      <c r="C117" s="1">
        <v>1065.1300000000001</v>
      </c>
      <c r="D117" s="1">
        <v>1045.3800000000001</v>
      </c>
      <c r="E117" s="1">
        <v>1062.98</v>
      </c>
      <c r="F117" s="1">
        <v>372695008</v>
      </c>
    </row>
    <row r="118" spans="1:6" ht="13" x14ac:dyDescent="0.15">
      <c r="A118" s="3">
        <v>40085</v>
      </c>
      <c r="B118">
        <v>1063.68</v>
      </c>
      <c r="C118" s="1">
        <v>1069.6199999999999</v>
      </c>
      <c r="D118" s="1">
        <v>1057.82</v>
      </c>
      <c r="E118" s="1">
        <v>1060.6099999999999</v>
      </c>
      <c r="F118" s="1">
        <v>494990016</v>
      </c>
    </row>
    <row r="119" spans="1:6" ht="13" x14ac:dyDescent="0.15">
      <c r="A119" s="3">
        <v>40086</v>
      </c>
      <c r="B119">
        <v>1061.02</v>
      </c>
      <c r="C119" s="1">
        <v>1063.4000000000001</v>
      </c>
      <c r="D119" s="1">
        <v>1046.47</v>
      </c>
      <c r="E119" s="1">
        <v>1057.07</v>
      </c>
      <c r="F119" s="1">
        <v>599886016</v>
      </c>
    </row>
    <row r="120" spans="1:6" ht="13" x14ac:dyDescent="0.15">
      <c r="A120" s="3">
        <v>40087</v>
      </c>
      <c r="B120">
        <v>1054.9100000000001</v>
      </c>
      <c r="C120" s="1">
        <v>1054.9100000000001</v>
      </c>
      <c r="D120" s="1">
        <v>1029.44</v>
      </c>
      <c r="E120" s="1">
        <v>1029.8499999999999</v>
      </c>
      <c r="F120" s="1">
        <v>579145024</v>
      </c>
    </row>
    <row r="121" spans="1:6" ht="13" x14ac:dyDescent="0.15">
      <c r="A121" s="3">
        <v>40088</v>
      </c>
      <c r="B121">
        <v>1029.71</v>
      </c>
      <c r="C121" s="1">
        <v>1030.5999999999999</v>
      </c>
      <c r="D121" s="1">
        <v>1019.95</v>
      </c>
      <c r="E121" s="1">
        <v>1025.21</v>
      </c>
      <c r="F121" s="1">
        <v>558323968</v>
      </c>
    </row>
    <row r="122" spans="1:6" ht="13" x14ac:dyDescent="0.15">
      <c r="A122" s="3">
        <v>40091</v>
      </c>
      <c r="B122">
        <v>1026.8699999999999</v>
      </c>
      <c r="C122" s="1">
        <v>1042.57</v>
      </c>
      <c r="D122" s="1">
        <v>1025.92</v>
      </c>
      <c r="E122" s="1">
        <v>1040.46</v>
      </c>
      <c r="F122" s="1">
        <v>431331008</v>
      </c>
    </row>
    <row r="123" spans="1:6" ht="13" x14ac:dyDescent="0.15">
      <c r="A123" s="3">
        <v>40092</v>
      </c>
      <c r="B123">
        <v>1042.02</v>
      </c>
      <c r="C123" s="1">
        <v>1060.55</v>
      </c>
      <c r="D123" s="1">
        <v>1042.02</v>
      </c>
      <c r="E123" s="1">
        <v>1054.72</v>
      </c>
      <c r="F123" s="1">
        <v>502984000</v>
      </c>
    </row>
    <row r="124" spans="1:6" ht="13" x14ac:dyDescent="0.15">
      <c r="A124" s="3">
        <v>40093</v>
      </c>
      <c r="B124">
        <v>1053.6500000000001</v>
      </c>
      <c r="C124" s="1">
        <v>1058.02</v>
      </c>
      <c r="D124" s="1">
        <v>1050.0999999999999</v>
      </c>
      <c r="E124" s="1">
        <v>1057.57</v>
      </c>
      <c r="F124" s="1">
        <v>423822016</v>
      </c>
    </row>
    <row r="125" spans="1:6" ht="13" x14ac:dyDescent="0.15">
      <c r="A125" s="3">
        <v>40094</v>
      </c>
      <c r="B125">
        <v>1060.03</v>
      </c>
      <c r="C125" s="1">
        <v>1070.67</v>
      </c>
      <c r="D125" s="1">
        <v>1060.03</v>
      </c>
      <c r="E125" s="1">
        <v>1065.48</v>
      </c>
      <c r="F125" s="1">
        <v>498840000</v>
      </c>
    </row>
    <row r="126" spans="1:6" ht="13" x14ac:dyDescent="0.15">
      <c r="A126" s="3">
        <v>40095</v>
      </c>
      <c r="B126">
        <v>1065.28</v>
      </c>
      <c r="C126" s="1">
        <v>1071.51</v>
      </c>
      <c r="D126" s="1">
        <v>1063</v>
      </c>
      <c r="E126" s="1">
        <v>1071.49</v>
      </c>
      <c r="F126" s="1">
        <v>376377984</v>
      </c>
    </row>
    <row r="127" spans="1:6" ht="13" x14ac:dyDescent="0.15">
      <c r="A127" s="3">
        <v>40098</v>
      </c>
      <c r="B127">
        <v>1071.6300000000001</v>
      </c>
      <c r="C127" s="1">
        <v>1079.46</v>
      </c>
      <c r="D127" s="1">
        <v>1071.6300000000001</v>
      </c>
      <c r="E127" s="1">
        <v>1076.18</v>
      </c>
      <c r="F127" s="1">
        <v>371043008</v>
      </c>
    </row>
    <row r="128" spans="1:6" ht="13" x14ac:dyDescent="0.15">
      <c r="A128" s="3">
        <v>40099</v>
      </c>
      <c r="B128">
        <v>1074.96</v>
      </c>
      <c r="C128" s="1">
        <v>1075.3</v>
      </c>
      <c r="D128" s="1">
        <v>1066.71</v>
      </c>
      <c r="E128" s="1">
        <v>1073.18</v>
      </c>
      <c r="F128" s="1">
        <v>432048000</v>
      </c>
    </row>
    <row r="129" spans="1:6" ht="13" x14ac:dyDescent="0.15">
      <c r="A129" s="3">
        <v>40100</v>
      </c>
      <c r="B129">
        <v>1078.68</v>
      </c>
      <c r="C129" s="1">
        <v>1093.17</v>
      </c>
      <c r="D129" s="1">
        <v>1078.68</v>
      </c>
      <c r="E129" s="1">
        <v>1092.02</v>
      </c>
      <c r="F129" s="1">
        <v>540641984</v>
      </c>
    </row>
    <row r="130" spans="1:6" ht="13" x14ac:dyDescent="0.15">
      <c r="A130" s="3">
        <v>40101</v>
      </c>
      <c r="B130">
        <v>1090.3599999999999</v>
      </c>
      <c r="C130" s="1">
        <v>1096.56</v>
      </c>
      <c r="D130" s="1">
        <v>1086.4100000000001</v>
      </c>
      <c r="E130" s="1">
        <v>1096.56</v>
      </c>
      <c r="F130" s="1">
        <v>536977984</v>
      </c>
    </row>
    <row r="131" spans="1:6" ht="13" x14ac:dyDescent="0.15">
      <c r="A131" s="3">
        <v>40102</v>
      </c>
      <c r="B131">
        <v>1094.67</v>
      </c>
      <c r="C131" s="1">
        <v>1094.67</v>
      </c>
      <c r="D131" s="1">
        <v>1081.53</v>
      </c>
      <c r="E131" s="1">
        <v>1087.68</v>
      </c>
      <c r="F131" s="1">
        <v>489473984</v>
      </c>
    </row>
    <row r="132" spans="1:6" ht="13" x14ac:dyDescent="0.15">
      <c r="A132" s="3">
        <v>40105</v>
      </c>
      <c r="B132">
        <v>1088.22</v>
      </c>
      <c r="C132" s="1">
        <v>1100.17</v>
      </c>
      <c r="D132" s="1">
        <v>1086.48</v>
      </c>
      <c r="E132" s="1">
        <v>1097.9100000000001</v>
      </c>
      <c r="F132" s="1">
        <v>461924000</v>
      </c>
    </row>
    <row r="133" spans="1:6" ht="13" x14ac:dyDescent="0.15">
      <c r="A133" s="3">
        <v>40106</v>
      </c>
      <c r="B133">
        <v>1098.6400000000001</v>
      </c>
      <c r="C133" s="1">
        <v>1098.6400000000001</v>
      </c>
      <c r="D133" s="1">
        <v>1086.1600000000001</v>
      </c>
      <c r="E133" s="1">
        <v>1091.06</v>
      </c>
      <c r="F133" s="1">
        <v>539692992</v>
      </c>
    </row>
    <row r="134" spans="1:6" ht="13" x14ac:dyDescent="0.15">
      <c r="A134" s="3">
        <v>40107</v>
      </c>
      <c r="B134">
        <v>1090.3599999999999</v>
      </c>
      <c r="C134" s="1">
        <v>1101.3599999999999</v>
      </c>
      <c r="D134" s="1">
        <v>1080.77</v>
      </c>
      <c r="E134" s="1">
        <v>1081.4000000000001</v>
      </c>
      <c r="F134" s="1">
        <v>561628992</v>
      </c>
    </row>
    <row r="135" spans="1:6" ht="13" x14ac:dyDescent="0.15">
      <c r="A135" s="3">
        <v>40108</v>
      </c>
      <c r="B135">
        <v>1080.96</v>
      </c>
      <c r="C135" s="1">
        <v>1095.21</v>
      </c>
      <c r="D135" s="1">
        <v>1074.31</v>
      </c>
      <c r="E135" s="1">
        <v>1092.9100000000001</v>
      </c>
      <c r="F135" s="1">
        <v>519240992</v>
      </c>
    </row>
    <row r="136" spans="1:6" ht="13" x14ac:dyDescent="0.15">
      <c r="A136" s="3">
        <v>40109</v>
      </c>
      <c r="B136">
        <v>1095.6199999999999</v>
      </c>
      <c r="C136" s="1">
        <v>1095.82</v>
      </c>
      <c r="D136" s="1">
        <v>1075.49</v>
      </c>
      <c r="E136" s="1">
        <v>1079.5999999999999</v>
      </c>
      <c r="F136" s="1">
        <v>476745984</v>
      </c>
    </row>
    <row r="137" spans="1:6" ht="13" x14ac:dyDescent="0.15">
      <c r="A137" s="3">
        <v>40112</v>
      </c>
      <c r="B137">
        <v>1080.3599999999999</v>
      </c>
      <c r="C137" s="1">
        <v>1091.75</v>
      </c>
      <c r="D137" s="1">
        <v>1065.23</v>
      </c>
      <c r="E137" s="1">
        <v>1066.94</v>
      </c>
      <c r="F137" s="1">
        <v>636337984</v>
      </c>
    </row>
    <row r="138" spans="1:6" ht="13" x14ac:dyDescent="0.15">
      <c r="A138" s="3">
        <v>40113</v>
      </c>
      <c r="B138">
        <v>1067.54</v>
      </c>
      <c r="C138" s="1">
        <v>1072.48</v>
      </c>
      <c r="D138" s="1">
        <v>1060.6199999999999</v>
      </c>
      <c r="E138" s="1">
        <v>1063.4100000000001</v>
      </c>
      <c r="F138" s="1">
        <v>533737984</v>
      </c>
    </row>
    <row r="139" spans="1:6" ht="13" x14ac:dyDescent="0.15">
      <c r="A139" s="3">
        <v>40114</v>
      </c>
      <c r="B139">
        <v>1061.51</v>
      </c>
      <c r="C139" s="1">
        <v>1063.26</v>
      </c>
      <c r="D139" s="1">
        <v>1042.18</v>
      </c>
      <c r="E139" s="1">
        <v>1042.6300000000001</v>
      </c>
      <c r="F139" s="1">
        <v>660035008</v>
      </c>
    </row>
    <row r="140" spans="1:6" ht="13" x14ac:dyDescent="0.15">
      <c r="A140" s="3">
        <v>40115</v>
      </c>
      <c r="B140">
        <v>1043.68</v>
      </c>
      <c r="C140" s="1">
        <v>1066.82</v>
      </c>
      <c r="D140" s="1">
        <v>1043.68</v>
      </c>
      <c r="E140" s="1">
        <v>1066.1099999999999</v>
      </c>
      <c r="F140" s="1">
        <v>559504000</v>
      </c>
    </row>
    <row r="141" spans="1:6" ht="13" x14ac:dyDescent="0.15">
      <c r="A141" s="3">
        <v>40116</v>
      </c>
      <c r="B141">
        <v>1065.4100000000001</v>
      </c>
      <c r="C141" s="1">
        <v>1065.4100000000001</v>
      </c>
      <c r="D141" s="1">
        <v>1033.3800000000001</v>
      </c>
      <c r="E141" s="1">
        <v>1036.18</v>
      </c>
      <c r="F141" s="1">
        <v>651241984</v>
      </c>
    </row>
    <row r="142" spans="1:6" ht="13" x14ac:dyDescent="0.15">
      <c r="A142" s="3">
        <v>40119</v>
      </c>
      <c r="B142">
        <v>1036.18</v>
      </c>
      <c r="C142" s="1">
        <v>1052.18</v>
      </c>
      <c r="D142" s="1">
        <v>1029.3800000000001</v>
      </c>
      <c r="E142" s="1">
        <v>1042.8800000000001</v>
      </c>
      <c r="F142" s="1">
        <v>620264000</v>
      </c>
    </row>
    <row r="143" spans="1:6" ht="13" x14ac:dyDescent="0.15">
      <c r="A143" s="3">
        <v>40120</v>
      </c>
      <c r="B143">
        <v>1040.92</v>
      </c>
      <c r="C143" s="1">
        <v>1046.3599999999999</v>
      </c>
      <c r="D143" s="1">
        <v>1033.93</v>
      </c>
      <c r="E143" s="1">
        <v>1045.4100000000001</v>
      </c>
      <c r="F143" s="1">
        <v>548750016</v>
      </c>
    </row>
    <row r="144" spans="1:6" ht="13" x14ac:dyDescent="0.15">
      <c r="A144" s="3">
        <v>40121</v>
      </c>
      <c r="B144">
        <v>1047.1400000000001</v>
      </c>
      <c r="C144" s="1">
        <v>1061</v>
      </c>
      <c r="D144" s="1">
        <v>1045.1500000000001</v>
      </c>
      <c r="E144" s="1">
        <v>1046.5</v>
      </c>
      <c r="F144" s="1">
        <v>563550976</v>
      </c>
    </row>
    <row r="145" spans="1:6" ht="13" x14ac:dyDescent="0.15">
      <c r="A145" s="3">
        <v>40122</v>
      </c>
      <c r="B145">
        <v>1047.3</v>
      </c>
      <c r="C145" s="1">
        <v>1066.6500000000001</v>
      </c>
      <c r="D145" s="1">
        <v>1047.3</v>
      </c>
      <c r="E145" s="1">
        <v>1066.6300000000001</v>
      </c>
      <c r="F145" s="1">
        <v>484835008</v>
      </c>
    </row>
    <row r="146" spans="1:6" ht="13" x14ac:dyDescent="0.15">
      <c r="A146" s="3">
        <v>40123</v>
      </c>
      <c r="B146">
        <v>1064.94</v>
      </c>
      <c r="C146" s="1">
        <v>1071.48</v>
      </c>
      <c r="D146" s="1">
        <v>1059.31</v>
      </c>
      <c r="E146" s="1">
        <v>1069.3</v>
      </c>
      <c r="F146" s="1">
        <v>427712992</v>
      </c>
    </row>
    <row r="147" spans="1:6" ht="13" x14ac:dyDescent="0.15">
      <c r="A147" s="3">
        <v>40126</v>
      </c>
      <c r="B147">
        <v>1072.31</v>
      </c>
      <c r="C147" s="1">
        <v>1093.18</v>
      </c>
      <c r="D147" s="1">
        <v>1072.31</v>
      </c>
      <c r="E147" s="1">
        <v>1093.07</v>
      </c>
      <c r="F147" s="1">
        <v>446003008</v>
      </c>
    </row>
    <row r="148" spans="1:6" ht="13" x14ac:dyDescent="0.15">
      <c r="A148" s="3">
        <v>40127</v>
      </c>
      <c r="B148">
        <v>1091.8599999999999</v>
      </c>
      <c r="C148" s="1">
        <v>1096.42</v>
      </c>
      <c r="D148" s="1">
        <v>1087.4000000000001</v>
      </c>
      <c r="E148" s="1">
        <v>1093.01</v>
      </c>
      <c r="F148" s="1">
        <v>439476992</v>
      </c>
    </row>
    <row r="149" spans="1:6" ht="13" x14ac:dyDescent="0.15">
      <c r="A149" s="3">
        <v>40128</v>
      </c>
      <c r="B149">
        <v>1096.04</v>
      </c>
      <c r="C149" s="1">
        <v>1105.3699999999999</v>
      </c>
      <c r="D149" s="1">
        <v>1093.81</v>
      </c>
      <c r="E149" s="1">
        <v>1098.51</v>
      </c>
      <c r="F149" s="1">
        <v>428670016</v>
      </c>
    </row>
    <row r="150" spans="1:6" ht="13" x14ac:dyDescent="0.15">
      <c r="A150" s="3">
        <v>40129</v>
      </c>
      <c r="B150">
        <v>1098.31</v>
      </c>
      <c r="C150" s="1">
        <v>1101.97</v>
      </c>
      <c r="D150" s="1">
        <v>1084.9000000000001</v>
      </c>
      <c r="E150" s="1">
        <v>1087.24</v>
      </c>
      <c r="F150" s="1">
        <v>416024992</v>
      </c>
    </row>
    <row r="151" spans="1:6" ht="13" x14ac:dyDescent="0.15">
      <c r="A151" s="3">
        <v>40130</v>
      </c>
      <c r="B151">
        <v>1087.5899999999999</v>
      </c>
      <c r="C151" s="1">
        <v>1097.79</v>
      </c>
      <c r="D151" s="1">
        <v>1085.32</v>
      </c>
      <c r="E151" s="1">
        <v>1093.48</v>
      </c>
      <c r="F151" s="1">
        <v>379260992</v>
      </c>
    </row>
    <row r="152" spans="1:6" ht="13" x14ac:dyDescent="0.15">
      <c r="A152" s="3">
        <v>40133</v>
      </c>
      <c r="B152">
        <v>1094.1300000000001</v>
      </c>
      <c r="C152" s="1">
        <v>1113.68</v>
      </c>
      <c r="D152" s="1">
        <v>1094.1300000000001</v>
      </c>
      <c r="E152" s="1">
        <v>1109.3</v>
      </c>
      <c r="F152" s="1">
        <v>456584992</v>
      </c>
    </row>
    <row r="153" spans="1:6" ht="13" x14ac:dyDescent="0.15">
      <c r="A153" s="3">
        <v>40134</v>
      </c>
      <c r="B153">
        <v>1109.22</v>
      </c>
      <c r="C153" s="1">
        <v>1110.52</v>
      </c>
      <c r="D153" s="1">
        <v>1102.18</v>
      </c>
      <c r="E153" s="1">
        <v>1110.31</v>
      </c>
      <c r="F153" s="1">
        <v>382407008</v>
      </c>
    </row>
    <row r="154" spans="1:6" ht="13" x14ac:dyDescent="0.15">
      <c r="A154" s="3">
        <v>40135</v>
      </c>
      <c r="B154">
        <v>1109.43</v>
      </c>
      <c r="C154" s="1">
        <v>1111.0999999999999</v>
      </c>
      <c r="D154" s="1">
        <v>1102.69</v>
      </c>
      <c r="E154" s="1">
        <v>1109.8</v>
      </c>
      <c r="F154" s="1">
        <v>429334016</v>
      </c>
    </row>
    <row r="155" spans="1:6" ht="13" x14ac:dyDescent="0.15">
      <c r="A155" s="3">
        <v>40136</v>
      </c>
      <c r="B155">
        <v>1106.43</v>
      </c>
      <c r="C155" s="1">
        <v>1106.43</v>
      </c>
      <c r="D155" s="1">
        <v>1088.4000000000001</v>
      </c>
      <c r="E155" s="1">
        <v>1094.9000000000001</v>
      </c>
      <c r="F155" s="1">
        <v>417803008</v>
      </c>
    </row>
    <row r="156" spans="1:6" ht="13" x14ac:dyDescent="0.15">
      <c r="A156" s="3">
        <v>40137</v>
      </c>
      <c r="B156">
        <v>1094.6600000000001</v>
      </c>
      <c r="C156" s="1">
        <v>1094.6600000000001</v>
      </c>
      <c r="D156" s="1">
        <v>1086.81</v>
      </c>
      <c r="E156" s="1">
        <v>1091.3800000000001</v>
      </c>
      <c r="F156" s="1">
        <v>375123008</v>
      </c>
    </row>
    <row r="157" spans="1:6" ht="13" x14ac:dyDescent="0.15">
      <c r="A157" s="3">
        <v>40140</v>
      </c>
      <c r="B157">
        <v>1094.8599999999999</v>
      </c>
      <c r="C157" s="1">
        <v>1112.3800000000001</v>
      </c>
      <c r="D157" s="1">
        <v>1094.8599999999999</v>
      </c>
      <c r="E157" s="1">
        <v>1106.24</v>
      </c>
      <c r="F157" s="1">
        <v>382792000</v>
      </c>
    </row>
    <row r="158" spans="1:6" ht="13" x14ac:dyDescent="0.15">
      <c r="A158" s="3">
        <v>40141</v>
      </c>
      <c r="B158">
        <v>1105.82</v>
      </c>
      <c r="C158" s="1">
        <v>1107.56</v>
      </c>
      <c r="D158" s="1">
        <v>1097.6300000000001</v>
      </c>
      <c r="E158" s="1">
        <v>1105.6500000000001</v>
      </c>
      <c r="F158" s="1">
        <v>370081984</v>
      </c>
    </row>
    <row r="159" spans="1:6" ht="13" x14ac:dyDescent="0.15">
      <c r="A159" s="3">
        <v>40142</v>
      </c>
      <c r="B159">
        <v>1106.49</v>
      </c>
      <c r="C159" s="1">
        <v>1111.18</v>
      </c>
      <c r="D159" s="1">
        <v>1104.75</v>
      </c>
      <c r="E159" s="1">
        <v>1110.6300000000001</v>
      </c>
      <c r="F159" s="1">
        <v>303635008</v>
      </c>
    </row>
    <row r="160" spans="1:6" ht="13" x14ac:dyDescent="0.15">
      <c r="A160" s="3">
        <v>40144</v>
      </c>
      <c r="B160">
        <v>1105.47</v>
      </c>
      <c r="C160" s="1">
        <v>1105.47</v>
      </c>
      <c r="D160" s="1">
        <v>1083.74</v>
      </c>
      <c r="E160" s="1">
        <v>1091.49</v>
      </c>
      <c r="F160" s="1">
        <v>236291008</v>
      </c>
    </row>
    <row r="161" spans="1:6" ht="13" x14ac:dyDescent="0.15">
      <c r="A161" s="3">
        <v>40147</v>
      </c>
      <c r="B161">
        <v>1091.06</v>
      </c>
      <c r="C161" s="1">
        <v>1097.24</v>
      </c>
      <c r="D161" s="1">
        <v>1086.25</v>
      </c>
      <c r="E161" s="1">
        <v>1095.6300000000001</v>
      </c>
      <c r="F161" s="1">
        <v>389552000</v>
      </c>
    </row>
    <row r="162" spans="1:6" ht="13" x14ac:dyDescent="0.15">
      <c r="A162" s="3">
        <v>40148</v>
      </c>
      <c r="B162">
        <v>1098.8900000000001</v>
      </c>
      <c r="C162" s="1">
        <v>1112.28</v>
      </c>
      <c r="D162" s="1">
        <v>1098.8900000000001</v>
      </c>
      <c r="E162" s="1">
        <v>1108.8599999999999</v>
      </c>
      <c r="F162" s="1">
        <v>424931008</v>
      </c>
    </row>
    <row r="163" spans="1:6" ht="13" x14ac:dyDescent="0.15">
      <c r="A163" s="3">
        <v>40149</v>
      </c>
      <c r="B163">
        <v>1109.03</v>
      </c>
      <c r="C163" s="1">
        <v>1115.57</v>
      </c>
      <c r="D163" s="1">
        <v>1105.29</v>
      </c>
      <c r="E163" s="1">
        <v>1109.24</v>
      </c>
      <c r="F163" s="1">
        <v>394134016</v>
      </c>
    </row>
    <row r="164" spans="1:6" ht="13" x14ac:dyDescent="0.15">
      <c r="A164" s="3">
        <v>40150</v>
      </c>
      <c r="B164">
        <v>1110.5899999999999</v>
      </c>
      <c r="C164" s="1">
        <v>1117.28</v>
      </c>
      <c r="D164" s="1">
        <v>1098.74</v>
      </c>
      <c r="E164" s="1">
        <v>1099.92</v>
      </c>
      <c r="F164" s="1">
        <v>481003008</v>
      </c>
    </row>
    <row r="165" spans="1:6" ht="13" x14ac:dyDescent="0.15">
      <c r="A165" s="3">
        <v>40151</v>
      </c>
      <c r="B165">
        <v>1100.43</v>
      </c>
      <c r="C165" s="1">
        <v>1119.1300000000001</v>
      </c>
      <c r="D165" s="1">
        <v>1096.52</v>
      </c>
      <c r="E165" s="1">
        <v>1105.98</v>
      </c>
      <c r="F165" s="1">
        <v>578113984</v>
      </c>
    </row>
    <row r="166" spans="1:6" ht="13" x14ac:dyDescent="0.15">
      <c r="A166" s="3">
        <v>40154</v>
      </c>
      <c r="B166">
        <v>1105.52</v>
      </c>
      <c r="C166" s="1">
        <v>1110.72</v>
      </c>
      <c r="D166" s="1">
        <v>1100.82</v>
      </c>
      <c r="E166" s="1">
        <v>1103.25</v>
      </c>
      <c r="F166" s="1">
        <v>410336000</v>
      </c>
    </row>
    <row r="167" spans="1:6" ht="13" x14ac:dyDescent="0.15">
      <c r="A167" s="3">
        <v>40155</v>
      </c>
      <c r="B167">
        <v>1103.04</v>
      </c>
      <c r="C167" s="1">
        <v>1103.04</v>
      </c>
      <c r="D167" s="1">
        <v>1088.6099999999999</v>
      </c>
      <c r="E167" s="1">
        <v>1091.93</v>
      </c>
      <c r="F167" s="1">
        <v>474803008</v>
      </c>
    </row>
    <row r="168" spans="1:6" ht="13" x14ac:dyDescent="0.15">
      <c r="A168" s="3">
        <v>40156</v>
      </c>
      <c r="B168">
        <v>1091.06</v>
      </c>
      <c r="C168" s="1">
        <v>1097.04</v>
      </c>
      <c r="D168" s="1">
        <v>1085.8900000000001</v>
      </c>
      <c r="E168" s="1">
        <v>1095.94</v>
      </c>
      <c r="F168" s="1">
        <v>411540992</v>
      </c>
    </row>
    <row r="169" spans="1:6" ht="13" x14ac:dyDescent="0.15">
      <c r="A169" s="3">
        <v>40157</v>
      </c>
      <c r="B169">
        <v>1098.68</v>
      </c>
      <c r="C169" s="1">
        <v>1106.25</v>
      </c>
      <c r="D169" s="1">
        <v>1098.68</v>
      </c>
      <c r="E169" s="1">
        <v>1102.3499999999999</v>
      </c>
      <c r="F169" s="1">
        <v>399648992</v>
      </c>
    </row>
    <row r="170" spans="1:6" ht="13" x14ac:dyDescent="0.15">
      <c r="A170" s="3">
        <v>40158</v>
      </c>
      <c r="B170">
        <v>1103.96</v>
      </c>
      <c r="C170" s="1">
        <v>1108.5</v>
      </c>
      <c r="D170" s="1">
        <v>1101.3399999999999</v>
      </c>
      <c r="E170" s="1">
        <v>1106.4100000000001</v>
      </c>
      <c r="F170" s="1">
        <v>379108992</v>
      </c>
    </row>
    <row r="171" spans="1:6" ht="13" x14ac:dyDescent="0.15">
      <c r="A171" s="3">
        <v>40161</v>
      </c>
      <c r="B171">
        <v>1107.8399999999999</v>
      </c>
      <c r="C171" s="1">
        <v>1114.76</v>
      </c>
      <c r="D171" s="1">
        <v>1107.8399999999999</v>
      </c>
      <c r="E171" s="1">
        <v>1114.1099999999999</v>
      </c>
      <c r="F171" s="1">
        <v>454848992</v>
      </c>
    </row>
    <row r="172" spans="1:6" ht="13" x14ac:dyDescent="0.15">
      <c r="A172" s="3">
        <v>40162</v>
      </c>
      <c r="B172">
        <v>1114.1099999999999</v>
      </c>
      <c r="C172" s="1">
        <v>1114.1099999999999</v>
      </c>
      <c r="D172" s="1">
        <v>1105.3499999999999</v>
      </c>
      <c r="E172" s="1">
        <v>1107.93</v>
      </c>
      <c r="F172" s="1">
        <v>504510016</v>
      </c>
    </row>
    <row r="173" spans="1:6" ht="13" x14ac:dyDescent="0.15">
      <c r="A173" s="3">
        <v>40163</v>
      </c>
      <c r="B173">
        <v>1108.6099999999999</v>
      </c>
      <c r="C173" s="1">
        <v>1116.21</v>
      </c>
      <c r="D173" s="1">
        <v>1107.96</v>
      </c>
      <c r="E173" s="1">
        <v>1109.18</v>
      </c>
      <c r="F173" s="1">
        <v>482982016</v>
      </c>
    </row>
    <row r="174" spans="1:6" ht="13" x14ac:dyDescent="0.15">
      <c r="A174" s="3">
        <v>40164</v>
      </c>
      <c r="B174">
        <v>1106.3599999999999</v>
      </c>
      <c r="C174" s="1">
        <v>1106.3599999999999</v>
      </c>
      <c r="D174" s="1">
        <v>1095.8800000000001</v>
      </c>
      <c r="E174" s="1">
        <v>1096.07</v>
      </c>
      <c r="F174" s="1">
        <v>361507040</v>
      </c>
    </row>
    <row r="175" spans="1:6" ht="13" x14ac:dyDescent="0.15">
      <c r="A175" s="3">
        <v>40165</v>
      </c>
      <c r="B175">
        <v>1097.8599999999999</v>
      </c>
      <c r="C175" s="1">
        <v>1103.74</v>
      </c>
      <c r="D175" s="1">
        <v>1093.8800000000001</v>
      </c>
      <c r="E175" s="1">
        <v>1102.47</v>
      </c>
      <c r="F175" s="1">
        <v>632588992</v>
      </c>
    </row>
    <row r="176" spans="1:6" ht="13" x14ac:dyDescent="0.15">
      <c r="A176" s="3">
        <v>40168</v>
      </c>
      <c r="B176">
        <v>1105.31</v>
      </c>
      <c r="C176" s="1">
        <v>1117.68</v>
      </c>
      <c r="D176" s="1">
        <v>1105.31</v>
      </c>
      <c r="E176" s="1">
        <v>1114.05</v>
      </c>
      <c r="F176" s="1">
        <v>397734016</v>
      </c>
    </row>
    <row r="177" spans="1:6" ht="13" x14ac:dyDescent="0.15">
      <c r="A177" s="3">
        <v>40169</v>
      </c>
      <c r="B177">
        <v>1114.51</v>
      </c>
      <c r="C177" s="1">
        <v>1120.27</v>
      </c>
      <c r="D177" s="1">
        <v>1114.51</v>
      </c>
      <c r="E177" s="1">
        <v>1118.02</v>
      </c>
      <c r="F177" s="1">
        <v>364112992</v>
      </c>
    </row>
    <row r="178" spans="1:6" ht="13" x14ac:dyDescent="0.15">
      <c r="A178" s="3">
        <v>40170</v>
      </c>
      <c r="B178">
        <v>1118.8399999999999</v>
      </c>
      <c r="C178" s="1">
        <v>1121.57</v>
      </c>
      <c r="D178" s="1">
        <v>1116</v>
      </c>
      <c r="E178" s="1">
        <v>1120.5899999999999</v>
      </c>
      <c r="F178" s="1">
        <v>316687008</v>
      </c>
    </row>
    <row r="179" spans="1:6" ht="13" x14ac:dyDescent="0.15">
      <c r="A179" s="3">
        <v>40171</v>
      </c>
      <c r="B179">
        <v>1121.07</v>
      </c>
      <c r="C179" s="1">
        <v>1126.48</v>
      </c>
      <c r="D179" s="1">
        <v>1121.07</v>
      </c>
      <c r="E179" s="1">
        <v>1126.48</v>
      </c>
      <c r="F179" s="1">
        <v>126771000</v>
      </c>
    </row>
    <row r="180" spans="1:6" ht="13" x14ac:dyDescent="0.15">
      <c r="A180" s="3">
        <v>40175</v>
      </c>
      <c r="B180">
        <v>1127.53</v>
      </c>
      <c r="C180" s="1">
        <v>1130.3800000000001</v>
      </c>
      <c r="D180" s="1">
        <v>1123.51</v>
      </c>
      <c r="E180" s="1">
        <v>1127.78</v>
      </c>
      <c r="F180" s="1">
        <v>271640000</v>
      </c>
    </row>
    <row r="181" spans="1:6" ht="13" x14ac:dyDescent="0.15">
      <c r="A181" s="3">
        <v>40176</v>
      </c>
      <c r="B181">
        <v>1128.55</v>
      </c>
      <c r="C181" s="1">
        <v>1130.3800000000001</v>
      </c>
      <c r="D181" s="1">
        <v>1126.07</v>
      </c>
      <c r="E181" s="1">
        <v>1126.19</v>
      </c>
      <c r="F181" s="1">
        <v>249102000</v>
      </c>
    </row>
    <row r="182" spans="1:6" ht="13" x14ac:dyDescent="0.15">
      <c r="A182" s="3">
        <v>40177</v>
      </c>
      <c r="B182">
        <v>1125.53</v>
      </c>
      <c r="C182" s="1">
        <v>1126.42</v>
      </c>
      <c r="D182" s="1">
        <v>1121.93</v>
      </c>
      <c r="E182" s="1">
        <v>1126.42</v>
      </c>
      <c r="F182" s="1">
        <v>227730000</v>
      </c>
    </row>
    <row r="183" spans="1:6" ht="13" x14ac:dyDescent="0.15">
      <c r="A183" s="3">
        <v>40178</v>
      </c>
      <c r="B183">
        <v>1126.5999999999999</v>
      </c>
      <c r="C183" s="1">
        <v>1127.6400000000001</v>
      </c>
      <c r="D183" s="1">
        <v>1114.81</v>
      </c>
      <c r="E183" s="1">
        <v>1115.0999999999999</v>
      </c>
      <c r="F183" s="1">
        <v>207699008</v>
      </c>
    </row>
    <row r="184" spans="1:6" ht="13" x14ac:dyDescent="0.15">
      <c r="A184" s="3">
        <v>40182</v>
      </c>
      <c r="B184">
        <v>1116.56</v>
      </c>
      <c r="C184" s="1">
        <v>1133.8699999999999</v>
      </c>
      <c r="D184" s="1">
        <v>1116.56</v>
      </c>
      <c r="E184" s="1">
        <v>1132.99</v>
      </c>
      <c r="F184" s="1">
        <v>399140000</v>
      </c>
    </row>
    <row r="185" spans="1:6" ht="13" x14ac:dyDescent="0.15">
      <c r="A185" s="3">
        <v>40183</v>
      </c>
      <c r="B185">
        <v>1132.6600000000001</v>
      </c>
      <c r="C185" s="1">
        <v>1136.6300000000001</v>
      </c>
      <c r="D185" s="1">
        <v>1129.6600000000001</v>
      </c>
      <c r="E185" s="1">
        <v>1136.52</v>
      </c>
      <c r="F185" s="1">
        <v>249102000</v>
      </c>
    </row>
    <row r="186" spans="1:6" ht="13" x14ac:dyDescent="0.15">
      <c r="A186" s="3">
        <v>40184</v>
      </c>
      <c r="B186">
        <v>1135.71</v>
      </c>
      <c r="C186" s="1">
        <v>1139.18</v>
      </c>
      <c r="D186" s="1">
        <v>1133.94</v>
      </c>
      <c r="E186" s="1">
        <v>1137.1400000000001</v>
      </c>
      <c r="F186" s="1">
        <v>497265984</v>
      </c>
    </row>
    <row r="187" spans="1:6" ht="13" x14ac:dyDescent="0.15">
      <c r="A187" s="3">
        <v>40185</v>
      </c>
      <c r="B187">
        <v>1136.27</v>
      </c>
      <c r="C187" s="1">
        <v>1142.46</v>
      </c>
      <c r="D187" s="1">
        <v>1131.31</v>
      </c>
      <c r="E187" s="1">
        <v>1141.68</v>
      </c>
      <c r="F187" s="1">
        <v>527068000</v>
      </c>
    </row>
    <row r="188" spans="1:6" ht="13" x14ac:dyDescent="0.15">
      <c r="A188" s="3">
        <v>40186</v>
      </c>
      <c r="B188">
        <v>1140.52</v>
      </c>
      <c r="C188" s="1">
        <v>1145.3900000000001</v>
      </c>
      <c r="D188" s="1">
        <v>1136.22</v>
      </c>
      <c r="E188" s="1">
        <v>1144.98</v>
      </c>
      <c r="F188" s="1">
        <v>438959008</v>
      </c>
    </row>
    <row r="189" spans="1:6" ht="13" x14ac:dyDescent="0.15">
      <c r="A189" s="3">
        <v>40189</v>
      </c>
      <c r="B189">
        <v>1145.96</v>
      </c>
      <c r="C189" s="1">
        <v>1149.74</v>
      </c>
      <c r="D189" s="1">
        <v>1047.28</v>
      </c>
      <c r="E189" s="1">
        <v>1146.98</v>
      </c>
      <c r="F189" s="1">
        <v>425577984</v>
      </c>
    </row>
    <row r="190" spans="1:6" ht="13" x14ac:dyDescent="0.15">
      <c r="A190" s="3">
        <v>40190</v>
      </c>
      <c r="B190">
        <v>1143.81</v>
      </c>
      <c r="C190" s="1">
        <v>1143.81</v>
      </c>
      <c r="D190" s="1">
        <v>1131.77</v>
      </c>
      <c r="E190" s="1">
        <v>1136.22</v>
      </c>
      <c r="F190" s="1">
        <v>471616000</v>
      </c>
    </row>
    <row r="191" spans="1:6" ht="13" x14ac:dyDescent="0.15">
      <c r="A191" s="3">
        <v>40191</v>
      </c>
      <c r="B191">
        <v>1137.31</v>
      </c>
      <c r="C191" s="1">
        <v>1148.4000000000001</v>
      </c>
      <c r="D191" s="1">
        <v>1133.18</v>
      </c>
      <c r="E191" s="1">
        <v>1145.68</v>
      </c>
      <c r="F191" s="1">
        <v>417036000</v>
      </c>
    </row>
    <row r="192" spans="1:6" ht="13" x14ac:dyDescent="0.15">
      <c r="A192" s="3">
        <v>40192</v>
      </c>
      <c r="B192">
        <v>1145.68</v>
      </c>
      <c r="C192" s="1">
        <v>1150.4100000000001</v>
      </c>
      <c r="D192" s="1">
        <v>1143.8</v>
      </c>
      <c r="E192" s="1">
        <v>1148.46</v>
      </c>
      <c r="F192" s="1">
        <v>391520000</v>
      </c>
    </row>
    <row r="193" spans="1:6" ht="13" x14ac:dyDescent="0.15">
      <c r="A193" s="3">
        <v>40193</v>
      </c>
      <c r="B193">
        <v>1147.72</v>
      </c>
      <c r="C193" s="1">
        <v>1147.77</v>
      </c>
      <c r="D193" s="1">
        <v>1131.3900000000001</v>
      </c>
      <c r="E193" s="1">
        <v>1136.03</v>
      </c>
      <c r="F193" s="1">
        <v>475872992</v>
      </c>
    </row>
    <row r="194" spans="1:6" ht="13" x14ac:dyDescent="0.15">
      <c r="A194" s="3">
        <v>40197</v>
      </c>
      <c r="B194">
        <v>1136.03</v>
      </c>
      <c r="C194" s="1">
        <v>1150.44</v>
      </c>
      <c r="D194" s="1">
        <v>1135.77</v>
      </c>
      <c r="E194" s="1">
        <v>1150.23</v>
      </c>
      <c r="F194" s="1">
        <v>472483008</v>
      </c>
    </row>
    <row r="195" spans="1:6" ht="13" x14ac:dyDescent="0.15">
      <c r="A195" s="3">
        <v>40198</v>
      </c>
      <c r="B195">
        <v>1147.94</v>
      </c>
      <c r="C195" s="1">
        <v>1147.94</v>
      </c>
      <c r="D195" s="1">
        <v>1129.25</v>
      </c>
      <c r="E195" s="1">
        <v>1138.04</v>
      </c>
      <c r="F195" s="1">
        <v>481056000</v>
      </c>
    </row>
    <row r="196" spans="1:6" ht="13" x14ac:dyDescent="0.15">
      <c r="A196" s="3">
        <v>40199</v>
      </c>
      <c r="B196">
        <v>1138.68</v>
      </c>
      <c r="C196" s="1">
        <v>1141.57</v>
      </c>
      <c r="D196" s="1">
        <v>1114.8399999999999</v>
      </c>
      <c r="E196" s="1">
        <v>1116.48</v>
      </c>
      <c r="F196" s="1">
        <v>687428992</v>
      </c>
    </row>
    <row r="197" spans="1:6" ht="13" x14ac:dyDescent="0.15">
      <c r="A197" s="3">
        <v>40200</v>
      </c>
      <c r="B197">
        <v>1115.49</v>
      </c>
      <c r="C197" s="1">
        <v>1115.49</v>
      </c>
      <c r="D197" s="1">
        <v>1090.18</v>
      </c>
      <c r="E197" s="1">
        <v>1091.76</v>
      </c>
      <c r="F197" s="1">
        <v>620865024</v>
      </c>
    </row>
    <row r="198" spans="1:6" ht="13" x14ac:dyDescent="0.15">
      <c r="A198" s="3">
        <v>40203</v>
      </c>
      <c r="B198">
        <v>1092.4000000000001</v>
      </c>
      <c r="C198" s="1">
        <v>1102.97</v>
      </c>
      <c r="D198" s="1">
        <v>1092.4000000000001</v>
      </c>
      <c r="E198" s="1">
        <v>1096.78</v>
      </c>
      <c r="F198" s="1">
        <v>448139008</v>
      </c>
    </row>
    <row r="199" spans="1:6" ht="13" x14ac:dyDescent="0.15">
      <c r="A199" s="3">
        <v>40204</v>
      </c>
      <c r="B199">
        <v>1095.8</v>
      </c>
      <c r="C199" s="1">
        <v>1103.68</v>
      </c>
      <c r="D199" s="1">
        <v>1089.8599999999999</v>
      </c>
      <c r="E199" s="1">
        <v>1092.17</v>
      </c>
      <c r="F199" s="1">
        <v>473191008</v>
      </c>
    </row>
    <row r="200" spans="1:6" ht="13" x14ac:dyDescent="0.15">
      <c r="A200" s="3">
        <v>40205</v>
      </c>
      <c r="B200">
        <v>1091.93</v>
      </c>
      <c r="C200" s="1">
        <v>1099.51</v>
      </c>
      <c r="D200" s="1">
        <v>1083.1099999999999</v>
      </c>
      <c r="E200" s="1">
        <v>1097.5</v>
      </c>
      <c r="F200" s="1">
        <v>531912000</v>
      </c>
    </row>
    <row r="201" spans="1:6" ht="13" x14ac:dyDescent="0.15">
      <c r="A201" s="3">
        <v>40206</v>
      </c>
      <c r="B201">
        <v>1096.93</v>
      </c>
      <c r="C201" s="1">
        <v>1100.22</v>
      </c>
      <c r="D201" s="1">
        <v>1078.46</v>
      </c>
      <c r="E201" s="1">
        <v>1084.53</v>
      </c>
      <c r="F201" s="1">
        <v>545240000</v>
      </c>
    </row>
    <row r="202" spans="1:6" ht="13" x14ac:dyDescent="0.15">
      <c r="A202" s="3">
        <v>40207</v>
      </c>
      <c r="B202">
        <v>1087.6099999999999</v>
      </c>
      <c r="C202" s="1">
        <v>1096.44</v>
      </c>
      <c r="D202" s="1">
        <v>1071.5899999999999</v>
      </c>
      <c r="E202" s="1">
        <v>1073.8699999999999</v>
      </c>
      <c r="F202" s="1">
        <v>541284992</v>
      </c>
    </row>
    <row r="203" spans="1:6" ht="13" x14ac:dyDescent="0.15">
      <c r="A203" s="3">
        <v>40210</v>
      </c>
      <c r="B203">
        <v>1073.8900000000001</v>
      </c>
      <c r="C203" s="1">
        <v>1089.3800000000001</v>
      </c>
      <c r="D203" s="1">
        <v>1073.8900000000001</v>
      </c>
      <c r="E203" s="1">
        <v>1089.18</v>
      </c>
      <c r="F203" s="1">
        <v>407760992</v>
      </c>
    </row>
    <row r="204" spans="1:6" ht="13" x14ac:dyDescent="0.15">
      <c r="A204" s="3">
        <v>40211</v>
      </c>
      <c r="B204">
        <v>1090.05</v>
      </c>
      <c r="C204" s="1">
        <v>1104.73</v>
      </c>
      <c r="D204" s="1">
        <v>1087.96</v>
      </c>
      <c r="E204" s="1">
        <v>1103.31</v>
      </c>
      <c r="F204" s="1">
        <v>474953984</v>
      </c>
    </row>
    <row r="205" spans="1:6" ht="13" x14ac:dyDescent="0.15">
      <c r="A205" s="3">
        <v>40212</v>
      </c>
      <c r="B205">
        <v>1100.67</v>
      </c>
      <c r="C205" s="1">
        <v>1102.72</v>
      </c>
      <c r="D205" s="1">
        <v>1093.97</v>
      </c>
      <c r="E205" s="1">
        <v>1097.28</v>
      </c>
      <c r="F205" s="1">
        <v>428544992</v>
      </c>
    </row>
    <row r="206" spans="1:6" ht="13" x14ac:dyDescent="0.15">
      <c r="A206" s="3">
        <v>40213</v>
      </c>
      <c r="B206">
        <v>1097.25</v>
      </c>
      <c r="C206" s="1">
        <v>1097.25</v>
      </c>
      <c r="D206" s="1">
        <v>1062.78</v>
      </c>
      <c r="E206" s="1">
        <v>1063.1099999999999</v>
      </c>
      <c r="F206" s="1">
        <v>585969024</v>
      </c>
    </row>
    <row r="207" spans="1:6" ht="13" x14ac:dyDescent="0.15">
      <c r="A207" s="3">
        <v>40214</v>
      </c>
      <c r="B207">
        <v>1064.1199999999999</v>
      </c>
      <c r="C207" s="1">
        <v>1067.1300000000001</v>
      </c>
      <c r="D207" s="1">
        <v>1044.5</v>
      </c>
      <c r="E207" s="1">
        <v>1066.18</v>
      </c>
      <c r="F207" s="1">
        <v>643889984</v>
      </c>
    </row>
    <row r="208" spans="1:6" ht="13" x14ac:dyDescent="0.15">
      <c r="A208" s="3">
        <v>40217</v>
      </c>
      <c r="B208">
        <v>1065.51</v>
      </c>
      <c r="C208" s="1">
        <v>1071.19</v>
      </c>
      <c r="D208" s="1">
        <v>1056.51</v>
      </c>
      <c r="E208" s="1">
        <v>1056.74</v>
      </c>
      <c r="F208" s="1">
        <v>408982016</v>
      </c>
    </row>
    <row r="209" spans="1:6" ht="13" x14ac:dyDescent="0.15">
      <c r="A209" s="3">
        <v>40218</v>
      </c>
      <c r="B209">
        <v>1060.06</v>
      </c>
      <c r="C209" s="1">
        <v>1079.28</v>
      </c>
      <c r="D209" s="1">
        <v>1060.06</v>
      </c>
      <c r="E209" s="1">
        <v>1070.52</v>
      </c>
      <c r="F209" s="1">
        <v>511425984</v>
      </c>
    </row>
    <row r="210" spans="1:6" ht="13" x14ac:dyDescent="0.15">
      <c r="A210" s="3">
        <v>40219</v>
      </c>
      <c r="B210">
        <v>1069.68</v>
      </c>
      <c r="C210" s="1">
        <v>1073.67</v>
      </c>
      <c r="D210" s="1">
        <v>1059.3399999999999</v>
      </c>
      <c r="E210" s="1">
        <v>1068.1300000000001</v>
      </c>
      <c r="F210" s="1">
        <v>425144992</v>
      </c>
    </row>
    <row r="211" spans="1:6" ht="13" x14ac:dyDescent="0.15">
      <c r="A211" s="3">
        <v>40220</v>
      </c>
      <c r="B211">
        <v>1067.0999999999999</v>
      </c>
      <c r="C211" s="1">
        <v>1080.04</v>
      </c>
      <c r="D211" s="1">
        <v>1060.5899999999999</v>
      </c>
      <c r="E211" s="1">
        <v>1078.47</v>
      </c>
      <c r="F211" s="1">
        <v>440087008</v>
      </c>
    </row>
    <row r="212" spans="1:6" ht="13" x14ac:dyDescent="0.15">
      <c r="A212" s="3">
        <v>40221</v>
      </c>
      <c r="B212">
        <v>1075.94</v>
      </c>
      <c r="C212" s="1">
        <v>1077.81</v>
      </c>
      <c r="D212" s="1">
        <v>1062.97</v>
      </c>
      <c r="E212" s="1">
        <v>1075.51</v>
      </c>
      <c r="F212" s="1">
        <v>416068000</v>
      </c>
    </row>
    <row r="213" spans="1:6" ht="13" x14ac:dyDescent="0.15">
      <c r="A213" s="3">
        <v>40225</v>
      </c>
      <c r="B213">
        <v>1079.1300000000001</v>
      </c>
      <c r="C213" s="1">
        <v>1095.67</v>
      </c>
      <c r="D213" s="1">
        <v>1079.1300000000001</v>
      </c>
      <c r="E213" s="1">
        <v>1094.8699999999999</v>
      </c>
      <c r="F213" s="1">
        <v>408076992</v>
      </c>
    </row>
    <row r="214" spans="1:6" ht="13" x14ac:dyDescent="0.15">
      <c r="A214" s="3">
        <v>40226</v>
      </c>
      <c r="B214">
        <v>1096.1400000000001</v>
      </c>
      <c r="C214" s="1">
        <v>1101.03</v>
      </c>
      <c r="D214" s="1">
        <v>1094.72</v>
      </c>
      <c r="E214" s="1">
        <v>1099.51</v>
      </c>
      <c r="F214" s="1">
        <v>425923008</v>
      </c>
    </row>
    <row r="215" spans="1:6" ht="13" x14ac:dyDescent="0.15">
      <c r="A215" s="3">
        <v>40227</v>
      </c>
      <c r="B215">
        <v>1099.03</v>
      </c>
      <c r="C215" s="1">
        <v>1108.24</v>
      </c>
      <c r="D215" s="1">
        <v>1097.48</v>
      </c>
      <c r="E215" s="1">
        <v>1106.75</v>
      </c>
      <c r="F215" s="1">
        <v>387862016</v>
      </c>
    </row>
    <row r="216" spans="1:6" ht="13" x14ac:dyDescent="0.15">
      <c r="A216" s="3">
        <v>40228</v>
      </c>
      <c r="B216">
        <v>1105.49</v>
      </c>
      <c r="C216" s="1">
        <v>1112.42</v>
      </c>
      <c r="D216" s="1">
        <v>1100.8</v>
      </c>
      <c r="E216" s="1">
        <v>1109.17</v>
      </c>
      <c r="F216" s="1">
        <v>394428000</v>
      </c>
    </row>
    <row r="217" spans="1:6" ht="13" x14ac:dyDescent="0.15">
      <c r="A217" s="3">
        <v>40231</v>
      </c>
      <c r="B217">
        <v>1110</v>
      </c>
      <c r="C217" s="1">
        <v>1112.29</v>
      </c>
      <c r="D217" s="1">
        <v>1105.3800000000001</v>
      </c>
      <c r="E217" s="1">
        <v>1108.01</v>
      </c>
      <c r="F217" s="1">
        <v>381444000</v>
      </c>
    </row>
    <row r="218" spans="1:6" ht="13" x14ac:dyDescent="0.15">
      <c r="A218" s="3">
        <v>40232</v>
      </c>
      <c r="B218">
        <v>1107.49</v>
      </c>
      <c r="C218" s="1">
        <v>1108.57</v>
      </c>
      <c r="D218" s="1">
        <v>1092.18</v>
      </c>
      <c r="E218" s="1">
        <v>1094.5999999999999</v>
      </c>
      <c r="F218" s="1">
        <v>452104992</v>
      </c>
    </row>
    <row r="219" spans="1:6" ht="13" x14ac:dyDescent="0.15">
      <c r="A219" s="3">
        <v>40233</v>
      </c>
      <c r="B219">
        <v>1095.8900000000001</v>
      </c>
      <c r="C219" s="1">
        <v>1106.42</v>
      </c>
      <c r="D219" s="1">
        <v>1095.5</v>
      </c>
      <c r="E219" s="1">
        <v>1105.24</v>
      </c>
      <c r="F219" s="1">
        <v>416836000</v>
      </c>
    </row>
    <row r="220" spans="1:6" ht="13" x14ac:dyDescent="0.15">
      <c r="A220" s="3">
        <v>40234</v>
      </c>
      <c r="B220">
        <v>1101.24</v>
      </c>
      <c r="C220" s="1">
        <v>1103.5</v>
      </c>
      <c r="D220" s="1">
        <v>1086.02</v>
      </c>
      <c r="E220" s="1">
        <v>1102.93</v>
      </c>
      <c r="F220" s="1">
        <v>452112992</v>
      </c>
    </row>
    <row r="221" spans="1:6" ht="13" x14ac:dyDescent="0.15">
      <c r="A221" s="3">
        <v>40235</v>
      </c>
      <c r="B221">
        <v>1103.0999999999999</v>
      </c>
      <c r="C221" s="1">
        <v>1107.24</v>
      </c>
      <c r="D221" s="1">
        <v>1097.56</v>
      </c>
      <c r="E221" s="1">
        <v>1104.49</v>
      </c>
      <c r="F221" s="1">
        <v>394519008</v>
      </c>
    </row>
    <row r="222" spans="1:6" ht="13" x14ac:dyDescent="0.15">
      <c r="A222" s="3">
        <v>40238</v>
      </c>
      <c r="B222">
        <v>1105.3599999999999</v>
      </c>
      <c r="C222" s="1">
        <v>1116.1099999999999</v>
      </c>
      <c r="D222" s="1">
        <v>1105.3599999999999</v>
      </c>
      <c r="E222" s="1">
        <v>1115.71</v>
      </c>
      <c r="F222" s="1">
        <v>384764000</v>
      </c>
    </row>
    <row r="223" spans="1:6" ht="13" x14ac:dyDescent="0.15">
      <c r="A223" s="3">
        <v>40239</v>
      </c>
      <c r="B223">
        <v>1117.01</v>
      </c>
      <c r="C223" s="1">
        <v>1123.46</v>
      </c>
      <c r="D223" s="1">
        <v>1116.51</v>
      </c>
      <c r="E223" s="1">
        <v>1118.31</v>
      </c>
      <c r="F223" s="1">
        <v>413468000</v>
      </c>
    </row>
    <row r="224" spans="1:6" ht="13" x14ac:dyDescent="0.15">
      <c r="A224" s="3">
        <v>40240</v>
      </c>
      <c r="B224">
        <v>1119.3599999999999</v>
      </c>
      <c r="C224" s="1">
        <v>1125.6400000000001</v>
      </c>
      <c r="D224" s="1">
        <v>1116.57</v>
      </c>
      <c r="E224" s="1">
        <v>1118.79</v>
      </c>
      <c r="F224" s="1">
        <v>395132000</v>
      </c>
    </row>
    <row r="225" spans="1:6" ht="13" x14ac:dyDescent="0.15">
      <c r="A225" s="3">
        <v>40241</v>
      </c>
      <c r="B225">
        <v>1119.1199999999999</v>
      </c>
      <c r="C225" s="1">
        <v>1123.73</v>
      </c>
      <c r="D225" s="1">
        <v>1116.6600000000001</v>
      </c>
      <c r="E225" s="1">
        <v>1122.97</v>
      </c>
      <c r="F225" s="1">
        <v>394500992</v>
      </c>
    </row>
    <row r="226" spans="1:6" ht="13" x14ac:dyDescent="0.15">
      <c r="A226" s="3">
        <v>40242</v>
      </c>
      <c r="B226">
        <v>1125.1199999999999</v>
      </c>
      <c r="C226" s="1">
        <v>1139.3800000000001</v>
      </c>
      <c r="D226" s="1">
        <v>1125.1199999999999</v>
      </c>
      <c r="E226" s="1">
        <v>1138.69</v>
      </c>
      <c r="F226" s="1">
        <v>413300000</v>
      </c>
    </row>
    <row r="227" spans="1:6" ht="13" x14ac:dyDescent="0.15">
      <c r="A227" s="3">
        <v>40245</v>
      </c>
      <c r="B227">
        <v>1138.4000000000001</v>
      </c>
      <c r="C227" s="1">
        <v>1141.05</v>
      </c>
      <c r="D227" s="1">
        <v>1136.77</v>
      </c>
      <c r="E227" s="1">
        <v>1138.5</v>
      </c>
      <c r="F227" s="1">
        <v>377468000</v>
      </c>
    </row>
    <row r="228" spans="1:6" ht="13" x14ac:dyDescent="0.15">
      <c r="A228" s="3">
        <v>40246</v>
      </c>
      <c r="B228">
        <v>1137.56</v>
      </c>
      <c r="C228" s="1">
        <v>1145.3699999999999</v>
      </c>
      <c r="D228" s="1">
        <v>1134.9000000000001</v>
      </c>
      <c r="E228" s="1">
        <v>1140.44</v>
      </c>
      <c r="F228" s="1">
        <v>518556992</v>
      </c>
    </row>
    <row r="229" spans="1:6" ht="13" x14ac:dyDescent="0.15">
      <c r="A229" s="3">
        <v>40247</v>
      </c>
      <c r="B229">
        <v>1140.22</v>
      </c>
      <c r="C229" s="1">
        <v>1148.26</v>
      </c>
      <c r="D229" s="1">
        <v>1140.0899999999999</v>
      </c>
      <c r="E229" s="1">
        <v>1145.6099999999999</v>
      </c>
      <c r="F229" s="1">
        <v>546912000</v>
      </c>
    </row>
    <row r="230" spans="1:6" ht="13" x14ac:dyDescent="0.15">
      <c r="A230" s="3">
        <v>40248</v>
      </c>
      <c r="B230">
        <v>1143.96</v>
      </c>
      <c r="C230" s="1">
        <v>1150.24</v>
      </c>
      <c r="D230" s="1">
        <v>1138.99</v>
      </c>
      <c r="E230" s="1">
        <v>1150.24</v>
      </c>
      <c r="F230" s="1">
        <v>466905984</v>
      </c>
    </row>
    <row r="231" spans="1:6" ht="13" x14ac:dyDescent="0.15">
      <c r="A231" s="3">
        <v>40249</v>
      </c>
      <c r="B231">
        <v>1151.71</v>
      </c>
      <c r="C231" s="1">
        <v>1153.4100000000001</v>
      </c>
      <c r="D231" s="1">
        <v>1146.97</v>
      </c>
      <c r="E231" s="1">
        <v>1149.99</v>
      </c>
      <c r="F231" s="1">
        <v>492816000</v>
      </c>
    </row>
    <row r="232" spans="1:6" ht="13" x14ac:dyDescent="0.15">
      <c r="A232" s="3">
        <v>40252</v>
      </c>
      <c r="B232">
        <v>1148.53</v>
      </c>
      <c r="C232" s="1">
        <v>1150.98</v>
      </c>
      <c r="D232" s="1">
        <v>1141.44</v>
      </c>
      <c r="E232" s="1">
        <v>1150.51</v>
      </c>
      <c r="F232" s="1">
        <v>416411008</v>
      </c>
    </row>
    <row r="233" spans="1:6" ht="13" x14ac:dyDescent="0.15">
      <c r="A233" s="3">
        <v>40253</v>
      </c>
      <c r="B233">
        <v>1150.83</v>
      </c>
      <c r="C233" s="1">
        <v>1160.28</v>
      </c>
      <c r="D233" s="1">
        <v>1150.3499999999999</v>
      </c>
      <c r="E233" s="1">
        <v>1159.46</v>
      </c>
      <c r="F233" s="1">
        <v>436976992</v>
      </c>
    </row>
    <row r="234" spans="1:6" ht="13" x14ac:dyDescent="0.15">
      <c r="A234" s="3">
        <v>40254</v>
      </c>
      <c r="B234">
        <v>1159.46</v>
      </c>
      <c r="C234" s="1">
        <v>1169.8399999999999</v>
      </c>
      <c r="D234" s="1">
        <v>1159.46</v>
      </c>
      <c r="E234" s="1">
        <v>1166.21</v>
      </c>
      <c r="F234" s="1">
        <v>496320000</v>
      </c>
    </row>
    <row r="235" spans="1:6" ht="13" x14ac:dyDescent="0.15">
      <c r="A235" s="3">
        <v>40255</v>
      </c>
      <c r="B235">
        <v>1166.1300000000001</v>
      </c>
      <c r="C235" s="1">
        <v>1167.77</v>
      </c>
      <c r="D235" s="1">
        <v>1161.1600000000001</v>
      </c>
      <c r="E235" s="1">
        <v>1165.82</v>
      </c>
      <c r="F235" s="1">
        <v>423451008</v>
      </c>
    </row>
    <row r="236" spans="1:6" ht="13" x14ac:dyDescent="0.15">
      <c r="A236" s="3">
        <v>40256</v>
      </c>
      <c r="B236">
        <v>1166.68</v>
      </c>
      <c r="C236" s="1">
        <v>1169.19</v>
      </c>
      <c r="D236" s="1">
        <v>1155.32</v>
      </c>
      <c r="E236" s="1">
        <v>1159.9000000000001</v>
      </c>
      <c r="F236" s="1">
        <v>521240992</v>
      </c>
    </row>
    <row r="237" spans="1:6" ht="13" x14ac:dyDescent="0.15">
      <c r="A237" s="3">
        <v>40259</v>
      </c>
      <c r="B237">
        <v>1157.25</v>
      </c>
      <c r="C237" s="1">
        <v>1167.81</v>
      </c>
      <c r="D237" s="1">
        <v>1152.8800000000001</v>
      </c>
      <c r="E237" s="1">
        <v>1165.81</v>
      </c>
      <c r="F237" s="1">
        <v>426168000</v>
      </c>
    </row>
    <row r="238" spans="1:6" ht="13" x14ac:dyDescent="0.15">
      <c r="A238" s="3">
        <v>40260</v>
      </c>
      <c r="B238">
        <v>1166.47</v>
      </c>
      <c r="C238" s="1">
        <v>1174.72</v>
      </c>
      <c r="D238" s="1">
        <v>1163.82</v>
      </c>
      <c r="E238" s="1">
        <v>1174.17</v>
      </c>
      <c r="F238" s="1">
        <v>441164000</v>
      </c>
    </row>
    <row r="239" spans="1:6" ht="13" x14ac:dyDescent="0.15">
      <c r="A239" s="3">
        <v>40261</v>
      </c>
      <c r="B239">
        <v>1172.69</v>
      </c>
      <c r="C239" s="1">
        <v>1173.04</v>
      </c>
      <c r="D239" s="1">
        <v>1166.01</v>
      </c>
      <c r="E239" s="1">
        <v>1167.72</v>
      </c>
      <c r="F239" s="1">
        <v>470575008</v>
      </c>
    </row>
    <row r="240" spans="1:6" ht="13" x14ac:dyDescent="0.15">
      <c r="A240" s="3">
        <v>40262</v>
      </c>
      <c r="B240">
        <v>1170.03</v>
      </c>
      <c r="C240" s="1">
        <v>1180.68</v>
      </c>
      <c r="D240" s="1">
        <v>1165.0899999999999</v>
      </c>
      <c r="E240" s="1">
        <v>1165.73</v>
      </c>
      <c r="F240" s="1">
        <v>566889984</v>
      </c>
    </row>
    <row r="241" spans="1:6" ht="13" x14ac:dyDescent="0.15">
      <c r="A241" s="3">
        <v>40263</v>
      </c>
      <c r="B241">
        <v>1167.57</v>
      </c>
      <c r="C241" s="1">
        <v>1173.93</v>
      </c>
      <c r="D241" s="1">
        <v>1161.48</v>
      </c>
      <c r="E241" s="1">
        <v>1166.5899999999999</v>
      </c>
      <c r="F241" s="1">
        <v>470841984</v>
      </c>
    </row>
    <row r="242" spans="1:6" ht="13" x14ac:dyDescent="0.15">
      <c r="A242" s="3">
        <v>40266</v>
      </c>
      <c r="B242">
        <v>1167.71</v>
      </c>
      <c r="C242" s="1">
        <v>1174.8499999999999</v>
      </c>
      <c r="D242" s="1">
        <v>1167.71</v>
      </c>
      <c r="E242" s="1">
        <v>1173.22</v>
      </c>
      <c r="F242" s="1">
        <v>437558016</v>
      </c>
    </row>
    <row r="243" spans="1:6" ht="13" x14ac:dyDescent="0.15">
      <c r="A243" s="3">
        <v>40267</v>
      </c>
      <c r="B243">
        <v>1173.75</v>
      </c>
      <c r="C243" s="1">
        <v>1177.82</v>
      </c>
      <c r="D243" s="1">
        <v>1168.92</v>
      </c>
      <c r="E243" s="1">
        <v>1173.27</v>
      </c>
      <c r="F243" s="1">
        <v>408500000</v>
      </c>
    </row>
    <row r="244" spans="1:6" ht="13" x14ac:dyDescent="0.15">
      <c r="A244" s="3">
        <v>40268</v>
      </c>
      <c r="B244">
        <v>1171.75</v>
      </c>
      <c r="C244" s="1">
        <v>1174.56</v>
      </c>
      <c r="D244" s="1">
        <v>1165.77</v>
      </c>
      <c r="E244" s="1">
        <v>1169.43</v>
      </c>
      <c r="F244" s="1">
        <v>448433984</v>
      </c>
    </row>
    <row r="245" spans="1:6" ht="13" x14ac:dyDescent="0.15">
      <c r="A245" s="3">
        <v>40269</v>
      </c>
      <c r="B245">
        <v>1171.23</v>
      </c>
      <c r="C245" s="1">
        <v>1181.43</v>
      </c>
      <c r="D245" s="1">
        <v>1170.68</v>
      </c>
      <c r="E245" s="1">
        <v>1178.0999999999999</v>
      </c>
      <c r="F245" s="1">
        <v>400687008</v>
      </c>
    </row>
    <row r="246" spans="1:6" ht="13" x14ac:dyDescent="0.15">
      <c r="A246" s="3">
        <v>40273</v>
      </c>
      <c r="B246">
        <v>1178.71</v>
      </c>
      <c r="C246" s="1">
        <v>1187.73</v>
      </c>
      <c r="D246" s="1">
        <v>1178.71</v>
      </c>
      <c r="E246" s="1">
        <v>1187.43</v>
      </c>
      <c r="F246" s="1">
        <v>388161984</v>
      </c>
    </row>
    <row r="247" spans="1:6" ht="13" x14ac:dyDescent="0.15">
      <c r="A247" s="3">
        <v>40274</v>
      </c>
      <c r="B247">
        <v>1186.01</v>
      </c>
      <c r="C247" s="1">
        <v>1191.8</v>
      </c>
      <c r="D247" s="1">
        <v>1182.77</v>
      </c>
      <c r="E247" s="1">
        <v>1189.43</v>
      </c>
      <c r="F247" s="1">
        <v>408617984</v>
      </c>
    </row>
    <row r="248" spans="1:6" ht="13" x14ac:dyDescent="0.15">
      <c r="A248" s="3">
        <v>40275</v>
      </c>
      <c r="B248">
        <v>1188.23</v>
      </c>
      <c r="C248" s="1">
        <v>1189.5999999999999</v>
      </c>
      <c r="D248" s="1">
        <v>1177.25</v>
      </c>
      <c r="E248" s="1">
        <v>1182.44</v>
      </c>
      <c r="F248" s="1">
        <v>510143008</v>
      </c>
    </row>
    <row r="249" spans="1:6" ht="13" x14ac:dyDescent="0.15">
      <c r="A249" s="3">
        <v>40276</v>
      </c>
      <c r="B249">
        <v>1181.75</v>
      </c>
      <c r="C249" s="1">
        <v>1188.55</v>
      </c>
      <c r="D249" s="1">
        <v>1175.1199999999999</v>
      </c>
      <c r="E249" s="1">
        <v>1186.43</v>
      </c>
      <c r="F249" s="1">
        <v>472696992</v>
      </c>
    </row>
    <row r="250" spans="1:6" ht="13" x14ac:dyDescent="0.15">
      <c r="A250" s="3">
        <v>40277</v>
      </c>
      <c r="B250">
        <v>1187.47</v>
      </c>
      <c r="C250" s="1">
        <v>1194.6600000000001</v>
      </c>
      <c r="D250" s="1">
        <v>1187.1500000000001</v>
      </c>
      <c r="E250" s="1">
        <v>1194.3699999999999</v>
      </c>
      <c r="F250" s="1">
        <v>451156992</v>
      </c>
    </row>
    <row r="251" spans="1:6" ht="13" x14ac:dyDescent="0.15">
      <c r="A251" s="3">
        <v>40280</v>
      </c>
      <c r="B251">
        <v>1194.93</v>
      </c>
      <c r="C251" s="1">
        <v>1199.19</v>
      </c>
      <c r="D251" s="1">
        <v>1194.71</v>
      </c>
      <c r="E251" s="1">
        <v>1196.48</v>
      </c>
      <c r="F251" s="1">
        <v>460708992</v>
      </c>
    </row>
    <row r="252" spans="1:6" ht="13" x14ac:dyDescent="0.15">
      <c r="A252" s="3">
        <v>40281</v>
      </c>
      <c r="B252">
        <v>1195.93</v>
      </c>
      <c r="C252" s="1">
        <v>1199.04</v>
      </c>
      <c r="D252" s="1">
        <v>1188.81</v>
      </c>
      <c r="E252" s="1">
        <v>1197.3</v>
      </c>
      <c r="F252" s="1">
        <v>540358016</v>
      </c>
    </row>
    <row r="253" spans="1:6" ht="13" x14ac:dyDescent="0.15">
      <c r="A253" s="3">
        <v>40282</v>
      </c>
      <c r="B253">
        <v>1198.68</v>
      </c>
      <c r="C253" s="1">
        <v>1210.6500000000001</v>
      </c>
      <c r="D253" s="1">
        <v>1198.68</v>
      </c>
      <c r="E253" s="1">
        <v>1210.6500000000001</v>
      </c>
      <c r="F253" s="1">
        <v>576003968</v>
      </c>
    </row>
    <row r="254" spans="1:6" ht="13" x14ac:dyDescent="0.15">
      <c r="A254" s="3">
        <v>40283</v>
      </c>
      <c r="B254">
        <v>1210.77</v>
      </c>
      <c r="C254" s="1">
        <v>1213.92</v>
      </c>
      <c r="D254" s="1">
        <v>1208.5</v>
      </c>
      <c r="E254" s="1">
        <v>1211.67</v>
      </c>
      <c r="F254" s="1">
        <v>599532992</v>
      </c>
    </row>
    <row r="255" spans="1:6" ht="13" x14ac:dyDescent="0.15">
      <c r="A255" s="3">
        <v>40284</v>
      </c>
      <c r="B255">
        <v>1210.17</v>
      </c>
      <c r="C255" s="1">
        <v>1210.17</v>
      </c>
      <c r="D255" s="1">
        <v>1186.77</v>
      </c>
      <c r="E255" s="1">
        <v>1192.1300000000001</v>
      </c>
      <c r="F255" s="1">
        <v>310847040</v>
      </c>
    </row>
    <row r="256" spans="1:6" ht="13" x14ac:dyDescent="0.15">
      <c r="A256" s="3">
        <v>40287</v>
      </c>
      <c r="B256">
        <v>1192.06</v>
      </c>
      <c r="C256" s="1">
        <v>1197.8699999999999</v>
      </c>
      <c r="D256" s="1">
        <v>1183.68</v>
      </c>
      <c r="E256" s="1">
        <v>1197.52</v>
      </c>
      <c r="F256" s="1">
        <v>659774016</v>
      </c>
    </row>
    <row r="257" spans="1:6" ht="13" x14ac:dyDescent="0.15">
      <c r="A257" s="3">
        <v>40288</v>
      </c>
      <c r="B257">
        <v>1199.04</v>
      </c>
      <c r="C257" s="1">
        <v>1208.57</v>
      </c>
      <c r="D257" s="1">
        <v>1199.04</v>
      </c>
      <c r="E257" s="1">
        <v>1207.17</v>
      </c>
      <c r="F257" s="1">
        <v>531659008</v>
      </c>
    </row>
    <row r="258" spans="1:6" ht="13" x14ac:dyDescent="0.15">
      <c r="A258" s="3">
        <v>40289</v>
      </c>
      <c r="B258">
        <v>1207.1600000000001</v>
      </c>
      <c r="C258" s="1">
        <v>1210.99</v>
      </c>
      <c r="D258" s="1">
        <v>1198.8499999999999</v>
      </c>
      <c r="E258" s="1">
        <v>1205.93</v>
      </c>
      <c r="F258" s="1">
        <v>572430976</v>
      </c>
    </row>
    <row r="259" spans="1:6" ht="13" x14ac:dyDescent="0.15">
      <c r="A259" s="3">
        <v>40290</v>
      </c>
      <c r="B259">
        <v>1202.52</v>
      </c>
      <c r="C259" s="1">
        <v>1210.27</v>
      </c>
      <c r="D259" s="1">
        <v>1190.18</v>
      </c>
      <c r="E259" s="1">
        <v>1208.67</v>
      </c>
      <c r="F259" s="1">
        <v>603577984</v>
      </c>
    </row>
    <row r="260" spans="1:6" ht="13" x14ac:dyDescent="0.15">
      <c r="A260" s="3">
        <v>40291</v>
      </c>
      <c r="B260">
        <v>1207.8699999999999</v>
      </c>
      <c r="C260" s="1">
        <v>1217.28</v>
      </c>
      <c r="D260" s="1">
        <v>1205.0999999999999</v>
      </c>
      <c r="E260" s="1">
        <v>1217.28</v>
      </c>
      <c r="F260" s="1">
        <v>532606016</v>
      </c>
    </row>
    <row r="261" spans="1:6" ht="13" x14ac:dyDescent="0.15">
      <c r="A261" s="3">
        <v>40294</v>
      </c>
      <c r="B261">
        <v>1217.06</v>
      </c>
      <c r="C261" s="1">
        <v>1219.8</v>
      </c>
      <c r="D261" s="1">
        <v>1211.06</v>
      </c>
      <c r="E261" s="1">
        <v>1212.05</v>
      </c>
      <c r="F261" s="1">
        <v>564776000</v>
      </c>
    </row>
    <row r="262" spans="1:6" ht="13" x14ac:dyDescent="0.15">
      <c r="A262" s="3">
        <v>40295</v>
      </c>
      <c r="B262">
        <v>1209.92</v>
      </c>
      <c r="C262" s="1">
        <v>1211.3800000000001</v>
      </c>
      <c r="D262" s="1">
        <v>1181.6199999999999</v>
      </c>
      <c r="E262" s="1">
        <v>1183.71</v>
      </c>
      <c r="F262" s="1">
        <v>345454016</v>
      </c>
    </row>
    <row r="263" spans="1:6" ht="13" x14ac:dyDescent="0.15">
      <c r="A263" s="3">
        <v>40296</v>
      </c>
      <c r="B263">
        <v>1184.5899999999999</v>
      </c>
      <c r="C263" s="1">
        <v>1195.05</v>
      </c>
      <c r="D263" s="1">
        <v>1181.81</v>
      </c>
      <c r="E263" s="1">
        <v>1191.3599999999999</v>
      </c>
      <c r="F263" s="1">
        <v>634230976</v>
      </c>
    </row>
    <row r="264" spans="1:6" ht="13" x14ac:dyDescent="0.15">
      <c r="A264" s="3">
        <v>40297</v>
      </c>
      <c r="B264">
        <v>1193.3</v>
      </c>
      <c r="C264" s="1">
        <v>1209.3599999999999</v>
      </c>
      <c r="D264" s="1">
        <v>1193.3</v>
      </c>
      <c r="E264" s="1">
        <v>1206.78</v>
      </c>
      <c r="F264" s="1">
        <v>605940992</v>
      </c>
    </row>
    <row r="265" spans="1:6" ht="13" x14ac:dyDescent="0.15">
      <c r="A265" s="3">
        <v>40298</v>
      </c>
      <c r="B265">
        <v>1206.77</v>
      </c>
      <c r="C265" s="1">
        <v>1207.99</v>
      </c>
      <c r="D265" s="1">
        <v>1186.31</v>
      </c>
      <c r="E265" s="1">
        <v>1186.68</v>
      </c>
      <c r="F265" s="1">
        <v>604825984</v>
      </c>
    </row>
    <row r="266" spans="1:6" ht="13" x14ac:dyDescent="0.15">
      <c r="A266" s="3">
        <v>40301</v>
      </c>
      <c r="B266">
        <v>1188.57</v>
      </c>
      <c r="C266" s="1">
        <v>1205.1300000000001</v>
      </c>
      <c r="D266" s="1">
        <v>1188.57</v>
      </c>
      <c r="E266" s="1">
        <v>1202.26</v>
      </c>
      <c r="F266" s="1">
        <v>493804992</v>
      </c>
    </row>
    <row r="267" spans="1:6" ht="13" x14ac:dyDescent="0.15">
      <c r="A267" s="3">
        <v>40302</v>
      </c>
      <c r="B267">
        <v>1197.5</v>
      </c>
      <c r="C267" s="1">
        <v>1197.5</v>
      </c>
      <c r="D267" s="1">
        <v>1168.1199999999999</v>
      </c>
      <c r="E267" s="1">
        <v>1173.5999999999999</v>
      </c>
      <c r="F267" s="1">
        <v>659472000</v>
      </c>
    </row>
    <row r="268" spans="1:6" ht="13" x14ac:dyDescent="0.15">
      <c r="A268" s="3">
        <v>40303</v>
      </c>
      <c r="B268">
        <v>1169.24</v>
      </c>
      <c r="C268" s="1">
        <v>1175.94</v>
      </c>
      <c r="D268" s="1">
        <v>1158.1500000000001</v>
      </c>
      <c r="E268" s="1">
        <v>1165.8699999999999</v>
      </c>
      <c r="F268" s="1">
        <v>679593984</v>
      </c>
    </row>
    <row r="269" spans="1:6" ht="13" x14ac:dyDescent="0.15">
      <c r="A269" s="3">
        <v>40304</v>
      </c>
      <c r="B269">
        <v>1164.3800000000001</v>
      </c>
      <c r="C269" s="1">
        <v>1167.57</v>
      </c>
      <c r="D269" s="1">
        <v>1065.79</v>
      </c>
      <c r="E269" s="1">
        <v>1128.1500000000001</v>
      </c>
      <c r="F269" s="1">
        <v>106178096</v>
      </c>
    </row>
    <row r="270" spans="1:6" ht="13" x14ac:dyDescent="0.15">
      <c r="A270" s="3">
        <v>40305</v>
      </c>
      <c r="B270">
        <v>1127.04</v>
      </c>
      <c r="C270" s="1">
        <v>1135.1300000000001</v>
      </c>
      <c r="D270" s="1">
        <v>1094.1500000000001</v>
      </c>
      <c r="E270" s="1">
        <v>1110.8800000000001</v>
      </c>
      <c r="F270" s="1">
        <v>447291040</v>
      </c>
    </row>
    <row r="271" spans="1:6" ht="13" x14ac:dyDescent="0.15">
      <c r="A271" s="3">
        <v>40308</v>
      </c>
      <c r="B271">
        <v>1122.27</v>
      </c>
      <c r="C271" s="1">
        <v>1163.8499999999999</v>
      </c>
      <c r="D271" s="1">
        <v>1122.27</v>
      </c>
      <c r="E271" s="1">
        <v>1159.73</v>
      </c>
      <c r="F271" s="1">
        <v>689369984</v>
      </c>
    </row>
    <row r="272" spans="1:6" ht="13" x14ac:dyDescent="0.15">
      <c r="A272" s="3">
        <v>40309</v>
      </c>
      <c r="B272">
        <v>1156.3900000000001</v>
      </c>
      <c r="C272" s="1">
        <v>1170.48</v>
      </c>
      <c r="D272" s="1">
        <v>1147.71</v>
      </c>
      <c r="E272" s="1">
        <v>1155.79</v>
      </c>
      <c r="F272" s="1">
        <v>584254976</v>
      </c>
    </row>
    <row r="273" spans="1:6" ht="13" x14ac:dyDescent="0.15">
      <c r="A273" s="3">
        <v>40310</v>
      </c>
      <c r="B273">
        <v>1155.43</v>
      </c>
      <c r="C273" s="1">
        <v>1172.8699999999999</v>
      </c>
      <c r="D273" s="1">
        <v>1155.43</v>
      </c>
      <c r="E273" s="1">
        <v>1171.67</v>
      </c>
      <c r="F273" s="1">
        <v>522545984</v>
      </c>
    </row>
    <row r="274" spans="1:6" ht="13" x14ac:dyDescent="0.15">
      <c r="A274" s="3">
        <v>40311</v>
      </c>
      <c r="B274">
        <v>1170.04</v>
      </c>
      <c r="C274" s="1">
        <v>1173.56</v>
      </c>
      <c r="D274" s="1">
        <v>1156.1400000000001</v>
      </c>
      <c r="E274" s="1">
        <v>1157.43</v>
      </c>
      <c r="F274" s="1">
        <v>487064000</v>
      </c>
    </row>
    <row r="275" spans="1:6" ht="13" x14ac:dyDescent="0.15">
      <c r="A275" s="3">
        <v>40312</v>
      </c>
      <c r="B275">
        <v>1157.18</v>
      </c>
      <c r="C275" s="1">
        <v>1157.18</v>
      </c>
      <c r="D275" s="1">
        <v>1126.1400000000001</v>
      </c>
      <c r="E275" s="1">
        <v>1135.68</v>
      </c>
      <c r="F275" s="1">
        <v>612640000</v>
      </c>
    </row>
    <row r="276" spans="1:6" ht="13" x14ac:dyDescent="0.15">
      <c r="A276" s="3">
        <v>40315</v>
      </c>
      <c r="B276">
        <v>1136.52</v>
      </c>
      <c r="C276" s="1">
        <v>1141.8800000000001</v>
      </c>
      <c r="D276" s="1">
        <v>1114.96</v>
      </c>
      <c r="E276" s="1">
        <v>1136.94</v>
      </c>
      <c r="F276" s="1">
        <v>592291968</v>
      </c>
    </row>
    <row r="277" spans="1:6" ht="13" x14ac:dyDescent="0.15">
      <c r="A277" s="3">
        <v>40316</v>
      </c>
      <c r="B277">
        <v>1138.78</v>
      </c>
      <c r="C277" s="1">
        <v>1148.6600000000001</v>
      </c>
      <c r="D277" s="1">
        <v>1117.2</v>
      </c>
      <c r="E277" s="1">
        <v>1120.8</v>
      </c>
      <c r="F277" s="1">
        <v>617084032</v>
      </c>
    </row>
    <row r="278" spans="1:6" ht="13" x14ac:dyDescent="0.15">
      <c r="A278" s="3">
        <v>40317</v>
      </c>
      <c r="B278">
        <v>1119.57</v>
      </c>
      <c r="C278" s="1">
        <v>1124.27</v>
      </c>
      <c r="D278" s="1">
        <v>1100.6600000000001</v>
      </c>
      <c r="E278" s="1">
        <v>1115.05</v>
      </c>
      <c r="F278" s="1">
        <v>676579968</v>
      </c>
    </row>
    <row r="279" spans="1:6" ht="13" x14ac:dyDescent="0.15">
      <c r="A279" s="3">
        <v>40318</v>
      </c>
      <c r="B279">
        <v>1107.3399999999999</v>
      </c>
      <c r="C279" s="1">
        <v>1107.3399999999999</v>
      </c>
      <c r="D279" s="1">
        <v>1071.58</v>
      </c>
      <c r="E279" s="1">
        <v>1071.5899999999999</v>
      </c>
      <c r="F279" s="1">
        <v>332856960</v>
      </c>
    </row>
    <row r="280" spans="1:6" ht="13" x14ac:dyDescent="0.15">
      <c r="A280" s="3">
        <v>40319</v>
      </c>
      <c r="B280">
        <v>1067.26</v>
      </c>
      <c r="C280" s="1">
        <v>1090.1600000000001</v>
      </c>
      <c r="D280" s="1">
        <v>1055.9000000000001</v>
      </c>
      <c r="E280" s="1">
        <v>1087.69</v>
      </c>
      <c r="F280" s="1">
        <v>545212992</v>
      </c>
    </row>
    <row r="281" spans="1:6" ht="13" x14ac:dyDescent="0.15">
      <c r="A281" s="3">
        <v>40322</v>
      </c>
      <c r="B281">
        <v>1084.78</v>
      </c>
      <c r="C281" s="1">
        <v>1089.95</v>
      </c>
      <c r="D281" s="1">
        <v>1072.7</v>
      </c>
      <c r="E281" s="1">
        <v>1073.6500000000001</v>
      </c>
      <c r="F281" s="1">
        <v>522404000</v>
      </c>
    </row>
    <row r="282" spans="1:6" ht="13" x14ac:dyDescent="0.15">
      <c r="A282" s="3">
        <v>40323</v>
      </c>
      <c r="B282">
        <v>1067.42</v>
      </c>
      <c r="C282" s="1">
        <v>1074.75</v>
      </c>
      <c r="D282" s="1">
        <v>1040.78</v>
      </c>
      <c r="E282" s="1">
        <v>1074.03</v>
      </c>
      <c r="F282" s="1">
        <v>332958016</v>
      </c>
    </row>
    <row r="283" spans="1:6" ht="13" x14ac:dyDescent="0.15">
      <c r="A283" s="3">
        <v>40324</v>
      </c>
      <c r="B283">
        <v>1075.51</v>
      </c>
      <c r="C283" s="1">
        <v>1090.75</v>
      </c>
      <c r="D283" s="1">
        <v>1065.5899999999999</v>
      </c>
      <c r="E283" s="1">
        <v>1067.95</v>
      </c>
      <c r="F283" s="1">
        <v>452104992</v>
      </c>
    </row>
    <row r="284" spans="1:6" ht="13" x14ac:dyDescent="0.15">
      <c r="A284" s="3">
        <v>40325</v>
      </c>
      <c r="B284">
        <v>1074.27</v>
      </c>
      <c r="C284" s="1">
        <v>1103.52</v>
      </c>
      <c r="D284" s="1">
        <v>1074.27</v>
      </c>
      <c r="E284" s="1">
        <v>1103.06</v>
      </c>
      <c r="F284" s="1">
        <v>569846016</v>
      </c>
    </row>
    <row r="285" spans="1:6" ht="13" x14ac:dyDescent="0.15">
      <c r="A285" s="3">
        <v>40326</v>
      </c>
      <c r="B285">
        <v>1102.5899999999999</v>
      </c>
      <c r="C285" s="1">
        <v>1102.5899999999999</v>
      </c>
      <c r="D285" s="1">
        <v>1084.78</v>
      </c>
      <c r="E285" s="1">
        <v>1089.4100000000001</v>
      </c>
      <c r="F285" s="1">
        <v>487120992</v>
      </c>
    </row>
    <row r="286" spans="1:6" ht="13" x14ac:dyDescent="0.15">
      <c r="A286" s="3">
        <v>40330</v>
      </c>
      <c r="B286">
        <v>1087.3</v>
      </c>
      <c r="C286" s="1">
        <v>1094.77</v>
      </c>
      <c r="D286" s="1">
        <v>1069.8900000000001</v>
      </c>
      <c r="E286" s="1">
        <v>1070.71</v>
      </c>
      <c r="F286" s="1">
        <v>527148000</v>
      </c>
    </row>
    <row r="287" spans="1:6" ht="13" x14ac:dyDescent="0.15">
      <c r="A287" s="3">
        <v>40331</v>
      </c>
      <c r="B287">
        <v>1073.01</v>
      </c>
      <c r="C287" s="1">
        <v>1098.56</v>
      </c>
      <c r="D287" s="1">
        <v>1072.03</v>
      </c>
      <c r="E287" s="1">
        <v>1098.3800000000001</v>
      </c>
      <c r="F287" s="1">
        <v>502636000</v>
      </c>
    </row>
    <row r="288" spans="1:6" ht="13" x14ac:dyDescent="0.15">
      <c r="A288" s="3">
        <v>40332</v>
      </c>
      <c r="B288">
        <v>1098.82</v>
      </c>
      <c r="C288" s="1">
        <v>1105.67</v>
      </c>
      <c r="D288" s="1">
        <v>1091.81</v>
      </c>
      <c r="E288" s="1">
        <v>1102.83</v>
      </c>
      <c r="F288" s="1">
        <v>499596992</v>
      </c>
    </row>
    <row r="289" spans="1:6" ht="13" x14ac:dyDescent="0.15">
      <c r="A289" s="3">
        <v>40333</v>
      </c>
      <c r="B289">
        <v>1098.43</v>
      </c>
      <c r="C289" s="1">
        <v>1098.43</v>
      </c>
      <c r="D289" s="1">
        <v>1060.5</v>
      </c>
      <c r="E289" s="1">
        <v>1064.8800000000001</v>
      </c>
      <c r="F289" s="1">
        <v>618057984</v>
      </c>
    </row>
    <row r="290" spans="1:6" ht="13" x14ac:dyDescent="0.15">
      <c r="A290" s="3">
        <v>40336</v>
      </c>
      <c r="B290">
        <v>1065.8399999999999</v>
      </c>
      <c r="C290" s="1">
        <v>1071.3599999999999</v>
      </c>
      <c r="D290" s="1">
        <v>1049.8599999999999</v>
      </c>
      <c r="E290" s="1">
        <v>1050.47</v>
      </c>
      <c r="F290" s="1">
        <v>546755968</v>
      </c>
    </row>
    <row r="291" spans="1:6" ht="13" x14ac:dyDescent="0.15">
      <c r="A291" s="3">
        <v>40337</v>
      </c>
      <c r="B291">
        <v>1050.81</v>
      </c>
      <c r="C291" s="1">
        <v>1063.1500000000001</v>
      </c>
      <c r="D291" s="1">
        <v>1042.17</v>
      </c>
      <c r="E291" s="1">
        <v>1062</v>
      </c>
      <c r="F291" s="1">
        <v>619275008</v>
      </c>
    </row>
    <row r="292" spans="1:6" ht="13" x14ac:dyDescent="0.15">
      <c r="A292" s="3">
        <v>40338</v>
      </c>
      <c r="B292">
        <v>1062.75</v>
      </c>
      <c r="C292" s="1">
        <v>1077.74</v>
      </c>
      <c r="D292" s="1">
        <v>1052.25</v>
      </c>
      <c r="E292" s="1">
        <v>1055.69</v>
      </c>
      <c r="F292" s="1">
        <v>598320000</v>
      </c>
    </row>
    <row r="293" spans="1:6" ht="13" x14ac:dyDescent="0.15">
      <c r="A293" s="3">
        <v>40339</v>
      </c>
      <c r="B293">
        <v>1058.77</v>
      </c>
      <c r="C293" s="1">
        <v>1087.8499999999999</v>
      </c>
      <c r="D293" s="1">
        <v>1058.77</v>
      </c>
      <c r="E293" s="1">
        <v>1086.8399999999999</v>
      </c>
      <c r="F293" s="1">
        <v>514478016</v>
      </c>
    </row>
    <row r="294" spans="1:6" ht="13" x14ac:dyDescent="0.15">
      <c r="A294" s="3">
        <v>40340</v>
      </c>
      <c r="B294">
        <v>1082.6500000000001</v>
      </c>
      <c r="C294" s="1">
        <v>1092.25</v>
      </c>
      <c r="D294" s="1">
        <v>1077.1199999999999</v>
      </c>
      <c r="E294" s="1">
        <v>1091.5999999999999</v>
      </c>
      <c r="F294" s="1">
        <v>405928000</v>
      </c>
    </row>
    <row r="295" spans="1:6" ht="13" x14ac:dyDescent="0.15">
      <c r="A295" s="3">
        <v>40343</v>
      </c>
      <c r="B295">
        <v>1095</v>
      </c>
      <c r="C295" s="1">
        <v>1105.9100000000001</v>
      </c>
      <c r="D295" s="1">
        <v>1089.03</v>
      </c>
      <c r="E295" s="1">
        <v>1089.6300000000001</v>
      </c>
      <c r="F295" s="1">
        <v>442583008</v>
      </c>
    </row>
    <row r="296" spans="1:6" ht="13" x14ac:dyDescent="0.15">
      <c r="A296" s="3">
        <v>40344</v>
      </c>
      <c r="B296">
        <v>1091.21</v>
      </c>
      <c r="C296" s="1">
        <v>1115.5899999999999</v>
      </c>
      <c r="D296" s="1">
        <v>1091.21</v>
      </c>
      <c r="E296" s="1">
        <v>1115.23</v>
      </c>
      <c r="F296" s="1">
        <v>464448992</v>
      </c>
    </row>
    <row r="297" spans="1:6" ht="13" x14ac:dyDescent="0.15">
      <c r="A297" s="3">
        <v>40345</v>
      </c>
      <c r="B297">
        <v>1114.02</v>
      </c>
      <c r="C297" s="1">
        <v>1118.74</v>
      </c>
      <c r="D297" s="1">
        <v>1107.1300000000001</v>
      </c>
      <c r="E297" s="1">
        <v>1114.6099999999999</v>
      </c>
      <c r="F297" s="1">
        <v>500260000</v>
      </c>
    </row>
    <row r="298" spans="1:6" ht="13" x14ac:dyDescent="0.15">
      <c r="A298" s="3">
        <v>40346</v>
      </c>
      <c r="B298">
        <v>1115.98</v>
      </c>
      <c r="C298" s="1">
        <v>1117.72</v>
      </c>
      <c r="D298" s="1">
        <v>1105.8699999999999</v>
      </c>
      <c r="E298" s="1">
        <v>1116.04</v>
      </c>
      <c r="F298" s="1">
        <v>455776000</v>
      </c>
    </row>
    <row r="299" spans="1:6" ht="13" x14ac:dyDescent="0.15">
      <c r="A299" s="3">
        <v>40347</v>
      </c>
      <c r="B299">
        <v>1116.1600000000001</v>
      </c>
      <c r="C299" s="1">
        <v>1121.01</v>
      </c>
      <c r="D299" s="1">
        <v>1113.93</v>
      </c>
      <c r="E299" s="1">
        <v>1117.51</v>
      </c>
      <c r="F299" s="1">
        <v>455536000</v>
      </c>
    </row>
    <row r="300" spans="1:6" ht="13" x14ac:dyDescent="0.15">
      <c r="A300" s="3">
        <v>40350</v>
      </c>
      <c r="B300">
        <v>1122.79</v>
      </c>
      <c r="C300" s="1">
        <v>1131.23</v>
      </c>
      <c r="D300" s="1">
        <v>1108.24</v>
      </c>
      <c r="E300" s="1">
        <v>1113.2</v>
      </c>
      <c r="F300" s="1">
        <v>451436000</v>
      </c>
    </row>
    <row r="301" spans="1:6" ht="13" x14ac:dyDescent="0.15">
      <c r="A301" s="3">
        <v>40351</v>
      </c>
      <c r="B301">
        <v>1113.9000000000001</v>
      </c>
      <c r="C301" s="1">
        <v>1118.5</v>
      </c>
      <c r="D301" s="1">
        <v>1094.18</v>
      </c>
      <c r="E301" s="1">
        <v>1095.31</v>
      </c>
      <c r="F301" s="1">
        <v>451438016</v>
      </c>
    </row>
    <row r="302" spans="1:6" ht="13" x14ac:dyDescent="0.15">
      <c r="A302" s="3">
        <v>40352</v>
      </c>
      <c r="B302">
        <v>1095.57</v>
      </c>
      <c r="C302" s="1">
        <v>1099.6400000000001</v>
      </c>
      <c r="D302" s="1">
        <v>1085.31</v>
      </c>
      <c r="E302" s="1">
        <v>1092.04</v>
      </c>
      <c r="F302" s="1">
        <v>452615008</v>
      </c>
    </row>
    <row r="303" spans="1:6" ht="13" x14ac:dyDescent="0.15">
      <c r="A303" s="3">
        <v>40353</v>
      </c>
      <c r="B303">
        <v>1090.93</v>
      </c>
      <c r="C303" s="1">
        <v>1090.93</v>
      </c>
      <c r="D303" s="1">
        <v>1071.5999999999999</v>
      </c>
      <c r="E303" s="1">
        <v>1073.69</v>
      </c>
      <c r="F303" s="1">
        <v>481483008</v>
      </c>
    </row>
    <row r="304" spans="1:6" ht="13" x14ac:dyDescent="0.15">
      <c r="A304" s="3">
        <v>40354</v>
      </c>
      <c r="B304">
        <v>1075.0999999999999</v>
      </c>
      <c r="C304" s="1">
        <v>1083.56</v>
      </c>
      <c r="D304" s="1">
        <v>1067.8900000000001</v>
      </c>
      <c r="E304" s="1">
        <v>1076.76</v>
      </c>
      <c r="F304" s="1">
        <v>512884000</v>
      </c>
    </row>
    <row r="305" spans="1:6" ht="13" x14ac:dyDescent="0.15">
      <c r="A305" s="3">
        <v>40357</v>
      </c>
      <c r="B305">
        <v>1077.5</v>
      </c>
      <c r="C305" s="1">
        <v>1082.5999999999999</v>
      </c>
      <c r="D305" s="1">
        <v>1071.45</v>
      </c>
      <c r="E305" s="1">
        <v>1074.57</v>
      </c>
      <c r="F305" s="1">
        <v>389640992</v>
      </c>
    </row>
    <row r="306" spans="1:6" ht="13" x14ac:dyDescent="0.15">
      <c r="A306" s="3">
        <v>40358</v>
      </c>
      <c r="B306">
        <v>1071.0999999999999</v>
      </c>
      <c r="C306" s="1">
        <v>1071.0999999999999</v>
      </c>
      <c r="D306" s="1">
        <v>1035.18</v>
      </c>
      <c r="E306" s="1">
        <v>1041.24</v>
      </c>
      <c r="F306" s="1">
        <v>613670016</v>
      </c>
    </row>
    <row r="307" spans="1:6" ht="13" x14ac:dyDescent="0.15">
      <c r="A307" s="3">
        <v>40359</v>
      </c>
      <c r="B307">
        <v>1040.56</v>
      </c>
      <c r="C307" s="1">
        <v>1048.08</v>
      </c>
      <c r="D307" s="1">
        <v>1028.33</v>
      </c>
      <c r="E307" s="1">
        <v>1030.71</v>
      </c>
      <c r="F307" s="1">
        <v>506708000</v>
      </c>
    </row>
    <row r="308" spans="1:6" ht="13" x14ac:dyDescent="0.15">
      <c r="A308" s="3">
        <v>40360</v>
      </c>
      <c r="B308">
        <v>1031.0999999999999</v>
      </c>
      <c r="C308" s="1">
        <v>1033.58</v>
      </c>
      <c r="D308" s="1">
        <v>1010.91</v>
      </c>
      <c r="E308" s="1">
        <v>1027.3699999999999</v>
      </c>
      <c r="F308" s="1">
        <v>643577024</v>
      </c>
    </row>
    <row r="309" spans="1:6" ht="13" x14ac:dyDescent="0.15">
      <c r="A309" s="3">
        <v>40361</v>
      </c>
      <c r="B309">
        <v>1027.6500000000001</v>
      </c>
      <c r="C309" s="1">
        <v>1032.95</v>
      </c>
      <c r="D309" s="1">
        <v>1015.93</v>
      </c>
      <c r="E309" s="1">
        <v>1022.58</v>
      </c>
      <c r="F309" s="1">
        <v>396849984</v>
      </c>
    </row>
    <row r="310" spans="1:6" ht="13" x14ac:dyDescent="0.15">
      <c r="A310" s="3">
        <v>40365</v>
      </c>
      <c r="B310">
        <v>1028.0899999999999</v>
      </c>
      <c r="C310" s="1">
        <v>1042.5</v>
      </c>
      <c r="D310" s="1">
        <v>1018.35</v>
      </c>
      <c r="E310" s="1">
        <v>1028.06</v>
      </c>
      <c r="F310" s="1">
        <v>469124000</v>
      </c>
    </row>
    <row r="311" spans="1:6" ht="13" x14ac:dyDescent="0.15">
      <c r="A311" s="3">
        <v>40366</v>
      </c>
      <c r="B311">
        <v>1028.54</v>
      </c>
      <c r="C311" s="1">
        <v>1060.8900000000001</v>
      </c>
      <c r="D311" s="1">
        <v>1028.54</v>
      </c>
      <c r="E311" s="1">
        <v>1060.27</v>
      </c>
      <c r="F311" s="1">
        <v>493121984</v>
      </c>
    </row>
    <row r="312" spans="1:6" ht="13" x14ac:dyDescent="0.15">
      <c r="A312" s="3">
        <v>40367</v>
      </c>
      <c r="B312">
        <v>1062.92</v>
      </c>
      <c r="C312" s="1">
        <v>1071.25</v>
      </c>
      <c r="D312" s="1">
        <v>1058.24</v>
      </c>
      <c r="E312" s="1">
        <v>1070.25</v>
      </c>
      <c r="F312" s="1">
        <v>454846016</v>
      </c>
    </row>
    <row r="313" spans="1:6" ht="13" x14ac:dyDescent="0.15">
      <c r="A313" s="3">
        <v>40368</v>
      </c>
      <c r="B313">
        <v>1070.5</v>
      </c>
      <c r="C313" s="1">
        <v>1078.1600000000001</v>
      </c>
      <c r="D313" s="1">
        <v>1068.0999999999999</v>
      </c>
      <c r="E313" s="1">
        <v>1077.96</v>
      </c>
      <c r="F313" s="1">
        <v>350656992</v>
      </c>
    </row>
    <row r="314" spans="1:6" ht="13" x14ac:dyDescent="0.15">
      <c r="A314" s="3">
        <v>40371</v>
      </c>
      <c r="B314">
        <v>1077.23</v>
      </c>
      <c r="C314" s="1">
        <v>1080.78</v>
      </c>
      <c r="D314" s="1">
        <v>1070.45</v>
      </c>
      <c r="E314" s="1">
        <v>1078.75</v>
      </c>
      <c r="F314" s="1">
        <v>342699008</v>
      </c>
    </row>
    <row r="315" spans="1:6" ht="13" x14ac:dyDescent="0.15">
      <c r="A315" s="3">
        <v>40372</v>
      </c>
      <c r="B315">
        <v>1080.6500000000001</v>
      </c>
      <c r="C315" s="1">
        <v>1099.46</v>
      </c>
      <c r="D315" s="1">
        <v>1080.6500000000001</v>
      </c>
      <c r="E315" s="1">
        <v>1095.3399999999999</v>
      </c>
      <c r="F315" s="1">
        <v>464046016</v>
      </c>
    </row>
    <row r="316" spans="1:6" ht="13" x14ac:dyDescent="0.15">
      <c r="A316" s="3">
        <v>40373</v>
      </c>
      <c r="B316">
        <v>1095.6099999999999</v>
      </c>
      <c r="C316" s="1">
        <v>1099.08</v>
      </c>
      <c r="D316" s="1">
        <v>1087.68</v>
      </c>
      <c r="E316" s="1">
        <v>1095.17</v>
      </c>
      <c r="F316" s="1">
        <v>452104992</v>
      </c>
    </row>
    <row r="317" spans="1:6" ht="13" x14ac:dyDescent="0.15">
      <c r="A317" s="3">
        <v>40374</v>
      </c>
      <c r="B317">
        <v>1094.46</v>
      </c>
      <c r="C317" s="1">
        <v>1098.6600000000001</v>
      </c>
      <c r="D317" s="1">
        <v>1080.53</v>
      </c>
      <c r="E317" s="1">
        <v>1096.48</v>
      </c>
      <c r="F317" s="1">
        <v>455247008</v>
      </c>
    </row>
    <row r="318" spans="1:6" ht="13" x14ac:dyDescent="0.15">
      <c r="A318" s="3">
        <v>40375</v>
      </c>
      <c r="B318">
        <v>1093.8499999999999</v>
      </c>
      <c r="C318" s="1">
        <v>1093.8499999999999</v>
      </c>
      <c r="D318" s="1">
        <v>1063.32</v>
      </c>
      <c r="E318" s="1">
        <v>1064.8800000000001</v>
      </c>
      <c r="F318" s="1">
        <v>529735008</v>
      </c>
    </row>
    <row r="319" spans="1:6" ht="13" x14ac:dyDescent="0.15">
      <c r="A319" s="3">
        <v>40378</v>
      </c>
      <c r="B319">
        <v>1066.8499999999999</v>
      </c>
      <c r="C319" s="1">
        <v>1074.7</v>
      </c>
      <c r="D319" s="1">
        <v>1061.1099999999999</v>
      </c>
      <c r="E319" s="1">
        <v>1071.25</v>
      </c>
      <c r="F319" s="1">
        <v>408950016</v>
      </c>
    </row>
    <row r="320" spans="1:6" ht="13" x14ac:dyDescent="0.15">
      <c r="A320" s="3">
        <v>40379</v>
      </c>
      <c r="B320">
        <v>1064.53</v>
      </c>
      <c r="C320" s="1">
        <v>1083.94</v>
      </c>
      <c r="D320" s="1">
        <v>1056.8800000000001</v>
      </c>
      <c r="E320" s="1">
        <v>1083.48</v>
      </c>
      <c r="F320" s="1">
        <v>471328000</v>
      </c>
    </row>
    <row r="321" spans="1:6" ht="13" x14ac:dyDescent="0.15">
      <c r="A321" s="3">
        <v>40380</v>
      </c>
      <c r="B321">
        <v>1086.67</v>
      </c>
      <c r="C321" s="1">
        <v>1088.96</v>
      </c>
      <c r="D321" s="1">
        <v>1065.25</v>
      </c>
      <c r="E321" s="1">
        <v>1069.5899999999999</v>
      </c>
      <c r="F321" s="1">
        <v>474718016</v>
      </c>
    </row>
    <row r="322" spans="1:6" ht="13" x14ac:dyDescent="0.15">
      <c r="A322" s="3">
        <v>40381</v>
      </c>
      <c r="B322">
        <v>1072.1400000000001</v>
      </c>
      <c r="C322" s="1">
        <v>1097.5</v>
      </c>
      <c r="D322" s="1">
        <v>1072.1400000000001</v>
      </c>
      <c r="E322" s="1">
        <v>1093.67</v>
      </c>
      <c r="F322" s="1">
        <v>482689984</v>
      </c>
    </row>
    <row r="323" spans="1:6" ht="13" x14ac:dyDescent="0.15">
      <c r="A323" s="3">
        <v>40382</v>
      </c>
      <c r="B323">
        <v>1092.17</v>
      </c>
      <c r="C323" s="1">
        <v>1103.73</v>
      </c>
      <c r="D323" s="1">
        <v>1087.8800000000001</v>
      </c>
      <c r="E323" s="1">
        <v>1102.6600000000001</v>
      </c>
      <c r="F323" s="1">
        <v>452456992</v>
      </c>
    </row>
    <row r="324" spans="1:6" ht="13" x14ac:dyDescent="0.15">
      <c r="A324" s="3">
        <v>40385</v>
      </c>
      <c r="B324">
        <v>1102.8900000000001</v>
      </c>
      <c r="C324" s="1">
        <v>1115.01</v>
      </c>
      <c r="D324" s="1">
        <v>1101.3</v>
      </c>
      <c r="E324" s="1">
        <v>1115.01</v>
      </c>
      <c r="F324" s="1">
        <v>400964992</v>
      </c>
    </row>
    <row r="325" spans="1:6" ht="13" x14ac:dyDescent="0.15">
      <c r="A325" s="3">
        <v>40386</v>
      </c>
      <c r="B325">
        <v>1117.3599999999999</v>
      </c>
      <c r="C325" s="1">
        <v>1120.95</v>
      </c>
      <c r="D325" s="1">
        <v>1109.78</v>
      </c>
      <c r="E325" s="1">
        <v>1113.8399999999999</v>
      </c>
      <c r="F325" s="1">
        <v>472568992</v>
      </c>
    </row>
    <row r="326" spans="1:6" ht="13" x14ac:dyDescent="0.15">
      <c r="A326" s="3">
        <v>40387</v>
      </c>
      <c r="B326">
        <v>1112.8399999999999</v>
      </c>
      <c r="C326" s="1">
        <v>1114.6600000000001</v>
      </c>
      <c r="D326" s="1">
        <v>1103.1099999999999</v>
      </c>
      <c r="E326" s="1">
        <v>1106.1300000000001</v>
      </c>
      <c r="F326" s="1">
        <v>400239008</v>
      </c>
    </row>
    <row r="327" spans="1:6" ht="13" x14ac:dyDescent="0.15">
      <c r="A327" s="3">
        <v>40388</v>
      </c>
      <c r="B327">
        <v>1108.07</v>
      </c>
      <c r="C327" s="1">
        <v>1115.9000000000001</v>
      </c>
      <c r="D327" s="1">
        <v>1092.82</v>
      </c>
      <c r="E327" s="1">
        <v>1101.53</v>
      </c>
      <c r="F327" s="1">
        <v>461241984</v>
      </c>
    </row>
    <row r="328" spans="1:6" ht="13" x14ac:dyDescent="0.15">
      <c r="A328" s="3">
        <v>40389</v>
      </c>
      <c r="B328">
        <v>1098.44</v>
      </c>
      <c r="C328" s="1">
        <v>1106.44</v>
      </c>
      <c r="D328" s="1">
        <v>1088.01</v>
      </c>
      <c r="E328" s="1">
        <v>1101.5999999999999</v>
      </c>
      <c r="F328" s="1">
        <v>400644992</v>
      </c>
    </row>
    <row r="329" spans="1:6" ht="13" x14ac:dyDescent="0.15">
      <c r="A329" s="3">
        <v>40392</v>
      </c>
      <c r="B329">
        <v>1107.53</v>
      </c>
      <c r="C329" s="1">
        <v>1127.3</v>
      </c>
      <c r="D329" s="1">
        <v>1107.53</v>
      </c>
      <c r="E329" s="1">
        <v>1125.8599999999999</v>
      </c>
      <c r="F329" s="1">
        <v>414417984</v>
      </c>
    </row>
    <row r="330" spans="1:6" ht="13" x14ac:dyDescent="0.15">
      <c r="A330" s="3">
        <v>40393</v>
      </c>
      <c r="B330">
        <v>1125.3399999999999</v>
      </c>
      <c r="C330" s="1">
        <v>1125.44</v>
      </c>
      <c r="D330" s="1">
        <v>1116.76</v>
      </c>
      <c r="E330" s="1">
        <v>1120.46</v>
      </c>
      <c r="F330" s="1">
        <v>407182016</v>
      </c>
    </row>
    <row r="331" spans="1:6" ht="13" x14ac:dyDescent="0.15">
      <c r="A331" s="3">
        <v>40394</v>
      </c>
      <c r="B331">
        <v>1121.06</v>
      </c>
      <c r="C331" s="1">
        <v>1128.75</v>
      </c>
      <c r="D331" s="1">
        <v>1119.46</v>
      </c>
      <c r="E331" s="1">
        <v>1127.24</v>
      </c>
      <c r="F331" s="1">
        <v>405784992</v>
      </c>
    </row>
    <row r="332" spans="1:6" ht="13" x14ac:dyDescent="0.15">
      <c r="A332" s="3">
        <v>40395</v>
      </c>
      <c r="B332">
        <v>1125.78</v>
      </c>
      <c r="C332" s="1">
        <v>1126.56</v>
      </c>
      <c r="D332" s="1">
        <v>1118.81</v>
      </c>
      <c r="E332" s="1">
        <v>1125.81</v>
      </c>
      <c r="F332" s="1">
        <v>368556000</v>
      </c>
    </row>
    <row r="333" spans="1:6" ht="13" x14ac:dyDescent="0.15">
      <c r="A333" s="3">
        <v>40396</v>
      </c>
      <c r="B333">
        <v>1122.07</v>
      </c>
      <c r="C333" s="1">
        <v>1123.06</v>
      </c>
      <c r="D333" s="1">
        <v>1107.17</v>
      </c>
      <c r="E333" s="1">
        <v>1121.6400000000001</v>
      </c>
      <c r="F333" s="1">
        <v>385788992</v>
      </c>
    </row>
    <row r="334" spans="1:6" ht="13" x14ac:dyDescent="0.15">
      <c r="A334" s="3">
        <v>40399</v>
      </c>
      <c r="B334">
        <v>1122.8</v>
      </c>
      <c r="C334" s="1">
        <v>1129.24</v>
      </c>
      <c r="D334" s="1">
        <v>1120.9100000000001</v>
      </c>
      <c r="E334" s="1">
        <v>1127.79</v>
      </c>
      <c r="F334" s="1">
        <v>319163008</v>
      </c>
    </row>
    <row r="335" spans="1:6" ht="13" x14ac:dyDescent="0.15">
      <c r="A335" s="3">
        <v>40400</v>
      </c>
      <c r="B335">
        <v>1122.92</v>
      </c>
      <c r="C335" s="1">
        <v>1127.1600000000001</v>
      </c>
      <c r="D335" s="1">
        <v>1111.58</v>
      </c>
      <c r="E335" s="1">
        <v>1121.06</v>
      </c>
      <c r="F335" s="1">
        <v>397936000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1"/>
  <sheetViews>
    <sheetView workbookViewId="0"/>
  </sheetViews>
  <sheetFormatPr baseColWidth="10" defaultColWidth="14.5" defaultRowHeight="15.75" customHeight="1" x14ac:dyDescent="0.15"/>
  <cols>
    <col min="1" max="1" width="10.1640625" style="3" bestFit="1" customWidth="1"/>
    <col min="2" max="5" width="7.83203125" customWidth="1"/>
    <col min="6" max="6" width="10.5" customWidth="1"/>
  </cols>
  <sheetData>
    <row r="1" spans="1:6" ht="15.75" customHeight="1" x14ac:dyDescent="0.15">
      <c r="A1" s="3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3">
        <v>37692</v>
      </c>
      <c r="B2">
        <v>799.89</v>
      </c>
      <c r="C2" s="1">
        <v>804.19</v>
      </c>
      <c r="D2" s="1">
        <v>788.9</v>
      </c>
      <c r="E2" s="1">
        <v>804.19</v>
      </c>
      <c r="F2" s="1">
        <v>162000000</v>
      </c>
    </row>
    <row r="3" spans="1:6" ht="15.75" customHeight="1" x14ac:dyDescent="0.15">
      <c r="A3" s="3">
        <v>37693</v>
      </c>
      <c r="B3">
        <v>806.48</v>
      </c>
      <c r="C3" s="1">
        <v>832.02</v>
      </c>
      <c r="D3" s="1">
        <v>806.48</v>
      </c>
      <c r="E3" s="1">
        <v>831.9</v>
      </c>
      <c r="F3" s="1">
        <v>181630000</v>
      </c>
    </row>
    <row r="4" spans="1:6" ht="15.75" customHeight="1" x14ac:dyDescent="0.15">
      <c r="A4" s="3">
        <v>37694</v>
      </c>
      <c r="B4">
        <v>831.89</v>
      </c>
      <c r="C4" s="1">
        <v>841.39</v>
      </c>
      <c r="D4" s="1">
        <v>828.26</v>
      </c>
      <c r="E4" s="1">
        <v>833.27</v>
      </c>
      <c r="F4" s="1">
        <v>154190000</v>
      </c>
    </row>
    <row r="5" spans="1:6" ht="15.75" customHeight="1" x14ac:dyDescent="0.15">
      <c r="A5" s="3">
        <v>37697</v>
      </c>
      <c r="B5">
        <v>832.09</v>
      </c>
      <c r="C5" s="1">
        <v>862.79</v>
      </c>
      <c r="D5" s="1">
        <v>827.17</v>
      </c>
      <c r="E5" s="1">
        <v>862.79</v>
      </c>
      <c r="F5" s="1">
        <v>170042000</v>
      </c>
    </row>
    <row r="6" spans="1:6" ht="15.75" customHeight="1" x14ac:dyDescent="0.15">
      <c r="A6" s="3">
        <v>37698</v>
      </c>
      <c r="B6">
        <v>862.78</v>
      </c>
      <c r="C6" s="1">
        <v>866.94</v>
      </c>
      <c r="D6" s="1">
        <v>857.36</v>
      </c>
      <c r="E6" s="1">
        <v>866.45</v>
      </c>
      <c r="F6" s="1">
        <v>155510000</v>
      </c>
    </row>
    <row r="7" spans="1:6" ht="15.75" customHeight="1" x14ac:dyDescent="0.15">
      <c r="A7" s="3">
        <v>37699</v>
      </c>
      <c r="B7">
        <v>865.85</v>
      </c>
      <c r="C7" s="1">
        <v>874.99</v>
      </c>
      <c r="D7" s="1">
        <v>861.21</v>
      </c>
      <c r="E7" s="1">
        <v>874.02</v>
      </c>
      <c r="F7" s="1">
        <v>147340000</v>
      </c>
    </row>
    <row r="8" spans="1:6" ht="15.75" customHeight="1" x14ac:dyDescent="0.15">
      <c r="A8" s="3">
        <v>37700</v>
      </c>
      <c r="B8">
        <v>872.8</v>
      </c>
      <c r="C8" s="1">
        <v>879.6</v>
      </c>
      <c r="D8" s="1">
        <v>859.01</v>
      </c>
      <c r="E8" s="1">
        <v>875.84</v>
      </c>
      <c r="F8" s="1">
        <v>143910000</v>
      </c>
    </row>
    <row r="9" spans="1:6" ht="15.75" customHeight="1" x14ac:dyDescent="0.15">
      <c r="A9" s="3">
        <v>37701</v>
      </c>
      <c r="B9">
        <v>879.12</v>
      </c>
      <c r="C9" s="1">
        <v>895.89</v>
      </c>
      <c r="D9" s="1">
        <v>877.65</v>
      </c>
      <c r="E9" s="1">
        <v>895.89</v>
      </c>
      <c r="F9" s="1">
        <v>188371008</v>
      </c>
    </row>
    <row r="10" spans="1:6" ht="15.75" customHeight="1" x14ac:dyDescent="0.15">
      <c r="A10" s="3">
        <v>37704</v>
      </c>
      <c r="B10">
        <v>890.91</v>
      </c>
      <c r="C10" s="1">
        <v>890.91</v>
      </c>
      <c r="D10" s="1">
        <v>862.02</v>
      </c>
      <c r="E10" s="1">
        <v>864.23</v>
      </c>
      <c r="F10" s="1">
        <v>129300000</v>
      </c>
    </row>
    <row r="11" spans="1:6" ht="15.75" customHeight="1" x14ac:dyDescent="0.15">
      <c r="A11" s="3">
        <v>37705</v>
      </c>
      <c r="B11">
        <v>864.89</v>
      </c>
      <c r="C11" s="1">
        <v>879.87</v>
      </c>
      <c r="D11" s="1">
        <v>862.59</v>
      </c>
      <c r="E11" s="1">
        <v>874.74</v>
      </c>
      <c r="F11" s="1">
        <v>133340000</v>
      </c>
    </row>
    <row r="12" spans="1:6" ht="15.75" customHeight="1" x14ac:dyDescent="0.15">
      <c r="A12" s="3">
        <v>37706</v>
      </c>
      <c r="B12">
        <v>874.54</v>
      </c>
      <c r="C12" s="1">
        <v>875.8</v>
      </c>
      <c r="D12" s="1">
        <v>866.47</v>
      </c>
      <c r="E12" s="1">
        <v>869.95</v>
      </c>
      <c r="F12" s="1">
        <v>131970000</v>
      </c>
    </row>
    <row r="13" spans="1:6" ht="15.75" customHeight="1" x14ac:dyDescent="0.15">
      <c r="A13" s="3">
        <v>37707</v>
      </c>
      <c r="B13">
        <v>868.56</v>
      </c>
      <c r="C13" s="1">
        <v>874.15</v>
      </c>
      <c r="D13" s="1">
        <v>858.09</v>
      </c>
      <c r="E13" s="1">
        <v>868.52</v>
      </c>
      <c r="F13" s="1">
        <v>123290000</v>
      </c>
    </row>
    <row r="14" spans="1:6" ht="15.75" customHeight="1" x14ac:dyDescent="0.15">
      <c r="A14" s="3">
        <v>37708</v>
      </c>
      <c r="B14">
        <v>866.71</v>
      </c>
      <c r="C14" s="1">
        <v>869.88</v>
      </c>
      <c r="D14" s="1">
        <v>860.83</v>
      </c>
      <c r="E14" s="1">
        <v>863.5</v>
      </c>
      <c r="F14" s="1">
        <v>122700000</v>
      </c>
    </row>
    <row r="15" spans="1:6" ht="15.75" customHeight="1" x14ac:dyDescent="0.15">
      <c r="A15" s="3">
        <v>37711</v>
      </c>
      <c r="B15">
        <v>863.18</v>
      </c>
      <c r="C15" s="1">
        <v>863.18</v>
      </c>
      <c r="D15" s="1">
        <v>843.68</v>
      </c>
      <c r="E15" s="1">
        <v>848.18</v>
      </c>
      <c r="F15" s="1">
        <v>149550000</v>
      </c>
    </row>
    <row r="16" spans="1:6" ht="15.75" customHeight="1" x14ac:dyDescent="0.15">
      <c r="A16" s="3">
        <v>37712</v>
      </c>
      <c r="B16">
        <v>849.05</v>
      </c>
      <c r="C16" s="1">
        <v>861.28</v>
      </c>
      <c r="D16" s="1">
        <v>847.85</v>
      </c>
      <c r="E16" s="1">
        <v>858.48</v>
      </c>
      <c r="F16" s="1">
        <v>146160000</v>
      </c>
    </row>
    <row r="17" spans="1:6" ht="15.75" customHeight="1" x14ac:dyDescent="0.15">
      <c r="A17" s="3">
        <v>37713</v>
      </c>
      <c r="B17">
        <v>858.48</v>
      </c>
      <c r="C17" s="1">
        <v>884.57</v>
      </c>
      <c r="D17" s="1">
        <v>858.48</v>
      </c>
      <c r="E17" s="1">
        <v>880.9</v>
      </c>
      <c r="F17" s="1">
        <v>158980000</v>
      </c>
    </row>
    <row r="18" spans="1:6" ht="15.75" customHeight="1" x14ac:dyDescent="0.15">
      <c r="A18" s="3">
        <v>37714</v>
      </c>
      <c r="B18">
        <v>882.07</v>
      </c>
      <c r="C18" s="1">
        <v>885.89</v>
      </c>
      <c r="D18" s="1">
        <v>876.12</v>
      </c>
      <c r="E18" s="1">
        <v>876.45</v>
      </c>
      <c r="F18" s="1">
        <v>133950000</v>
      </c>
    </row>
    <row r="19" spans="1:6" ht="15.75" customHeight="1" x14ac:dyDescent="0.15">
      <c r="A19" s="3">
        <v>37715</v>
      </c>
      <c r="B19">
        <v>877.06</v>
      </c>
      <c r="C19" s="1">
        <v>882.73</v>
      </c>
      <c r="D19" s="1">
        <v>874.23</v>
      </c>
      <c r="E19" s="1">
        <v>878.85</v>
      </c>
      <c r="F19" s="1">
        <v>124120000</v>
      </c>
    </row>
    <row r="20" spans="1:6" ht="15.75" customHeight="1" x14ac:dyDescent="0.15">
      <c r="A20" s="3">
        <v>37718</v>
      </c>
      <c r="B20">
        <v>884.48</v>
      </c>
      <c r="C20" s="1">
        <v>904.89</v>
      </c>
      <c r="D20" s="1">
        <v>879.78</v>
      </c>
      <c r="E20" s="1">
        <v>879.93</v>
      </c>
      <c r="F20" s="1">
        <v>149400000</v>
      </c>
    </row>
    <row r="21" spans="1:6" ht="15.75" customHeight="1" x14ac:dyDescent="0.15">
      <c r="A21" s="3">
        <v>37719</v>
      </c>
      <c r="B21">
        <v>880.01</v>
      </c>
      <c r="C21" s="1">
        <v>883.11</v>
      </c>
      <c r="D21" s="1">
        <v>874.68</v>
      </c>
      <c r="E21" s="1">
        <v>878.29</v>
      </c>
      <c r="F21" s="1">
        <v>123540000</v>
      </c>
    </row>
    <row r="22" spans="1:6" ht="15.75" customHeight="1" x14ac:dyDescent="0.15">
      <c r="A22" s="3">
        <v>37720</v>
      </c>
      <c r="B22">
        <v>878.65</v>
      </c>
      <c r="C22" s="1">
        <v>887.35</v>
      </c>
      <c r="D22" s="1">
        <v>865.72</v>
      </c>
      <c r="E22" s="1">
        <v>865.99</v>
      </c>
      <c r="F22" s="1">
        <v>129370000</v>
      </c>
    </row>
    <row r="23" spans="1:6" ht="15.75" customHeight="1" x14ac:dyDescent="0.15">
      <c r="A23" s="3">
        <v>37721</v>
      </c>
      <c r="B23">
        <v>866.61</v>
      </c>
      <c r="C23" s="1">
        <v>871.78</v>
      </c>
      <c r="D23" s="1">
        <v>862.76</v>
      </c>
      <c r="E23" s="1">
        <v>871.58</v>
      </c>
      <c r="F23" s="1">
        <v>127530000</v>
      </c>
    </row>
    <row r="24" spans="1:6" ht="15.75" customHeight="1" x14ac:dyDescent="0.15">
      <c r="A24" s="3">
        <v>37722</v>
      </c>
      <c r="B24">
        <v>871.58</v>
      </c>
      <c r="C24" s="1">
        <v>883.34</v>
      </c>
      <c r="D24" s="1">
        <v>865.92</v>
      </c>
      <c r="E24" s="1">
        <v>868.3</v>
      </c>
      <c r="F24" s="1">
        <v>114160000</v>
      </c>
    </row>
    <row r="25" spans="1:6" ht="15.75" customHeight="1" x14ac:dyDescent="0.15">
      <c r="A25" s="3">
        <v>37725</v>
      </c>
      <c r="B25">
        <v>868.51</v>
      </c>
      <c r="C25" s="1">
        <v>885.26</v>
      </c>
      <c r="D25" s="1">
        <v>868.51</v>
      </c>
      <c r="E25" s="1">
        <v>885.23</v>
      </c>
      <c r="F25" s="1">
        <v>113100000</v>
      </c>
    </row>
    <row r="26" spans="1:6" ht="15.75" customHeight="1" x14ac:dyDescent="0.15">
      <c r="A26" s="3">
        <v>37726</v>
      </c>
      <c r="B26">
        <v>884.78</v>
      </c>
      <c r="C26" s="1">
        <v>891.27</v>
      </c>
      <c r="D26" s="1">
        <v>881.85</v>
      </c>
      <c r="E26" s="1">
        <v>890.81</v>
      </c>
      <c r="F26" s="1">
        <v>146020000</v>
      </c>
    </row>
    <row r="27" spans="1:6" ht="15.75" customHeight="1" x14ac:dyDescent="0.15">
      <c r="A27" s="3">
        <v>37727</v>
      </c>
      <c r="B27">
        <v>890.81</v>
      </c>
      <c r="C27" s="1">
        <v>896.77</v>
      </c>
      <c r="D27" s="1">
        <v>877.93</v>
      </c>
      <c r="E27" s="1">
        <v>879.91</v>
      </c>
      <c r="F27" s="1">
        <v>158760000</v>
      </c>
    </row>
    <row r="28" spans="1:6" ht="15.75" customHeight="1" x14ac:dyDescent="0.15">
      <c r="A28" s="3">
        <v>37728</v>
      </c>
      <c r="B28">
        <v>879.2</v>
      </c>
      <c r="C28" s="1">
        <v>893.83</v>
      </c>
      <c r="D28" s="1">
        <v>879.2</v>
      </c>
      <c r="E28" s="1">
        <v>893.58</v>
      </c>
      <c r="F28" s="1">
        <v>143060000</v>
      </c>
    </row>
    <row r="29" spans="1:6" ht="15.75" customHeight="1" x14ac:dyDescent="0.15">
      <c r="A29" s="3">
        <v>37732</v>
      </c>
      <c r="B29">
        <v>893.66</v>
      </c>
      <c r="C29" s="1">
        <v>898.01</v>
      </c>
      <c r="D29" s="1">
        <v>888.17</v>
      </c>
      <c r="E29" s="1">
        <v>892.01</v>
      </c>
      <c r="F29" s="1">
        <v>111870000</v>
      </c>
    </row>
    <row r="30" spans="1:6" ht="15.75" customHeight="1" x14ac:dyDescent="0.15">
      <c r="A30" s="3">
        <v>37733</v>
      </c>
      <c r="B30">
        <v>890.63</v>
      </c>
      <c r="C30" s="1">
        <v>911.74</v>
      </c>
      <c r="D30" s="1">
        <v>886.7</v>
      </c>
      <c r="E30" s="1">
        <v>911.37</v>
      </c>
      <c r="F30" s="1">
        <v>163120000</v>
      </c>
    </row>
    <row r="31" spans="1:6" ht="15.75" customHeight="1" x14ac:dyDescent="0.15">
      <c r="A31" s="3">
        <v>37734</v>
      </c>
      <c r="B31">
        <v>911.5</v>
      </c>
      <c r="C31" s="1">
        <v>919.74</v>
      </c>
      <c r="D31" s="1">
        <v>909.89</v>
      </c>
      <c r="E31" s="1">
        <v>919.02</v>
      </c>
      <c r="F31" s="1">
        <v>166720000</v>
      </c>
    </row>
    <row r="32" spans="1:6" ht="15.75" customHeight="1" x14ac:dyDescent="0.15">
      <c r="A32" s="3">
        <v>37735</v>
      </c>
      <c r="B32">
        <v>917.21</v>
      </c>
      <c r="C32" s="1">
        <v>917.21</v>
      </c>
      <c r="D32" s="1">
        <v>906.69</v>
      </c>
      <c r="E32" s="1">
        <v>911.43</v>
      </c>
      <c r="F32" s="1">
        <v>164810000</v>
      </c>
    </row>
    <row r="33" spans="1:6" ht="15.75" customHeight="1" x14ac:dyDescent="0.15">
      <c r="A33" s="3">
        <v>37736</v>
      </c>
      <c r="B33">
        <v>910.57</v>
      </c>
      <c r="C33" s="1">
        <v>911.13</v>
      </c>
      <c r="D33" s="1">
        <v>897.52</v>
      </c>
      <c r="E33" s="1">
        <v>898.81</v>
      </c>
      <c r="F33" s="1">
        <v>133580000</v>
      </c>
    </row>
    <row r="34" spans="1:6" ht="15.75" customHeight="1" x14ac:dyDescent="0.15">
      <c r="A34" s="3">
        <v>37739</v>
      </c>
      <c r="B34">
        <v>899.19</v>
      </c>
      <c r="C34" s="1">
        <v>918.15</v>
      </c>
      <c r="D34" s="1">
        <v>899.19</v>
      </c>
      <c r="E34" s="1">
        <v>914.84</v>
      </c>
      <c r="F34" s="1">
        <v>127300000</v>
      </c>
    </row>
    <row r="35" spans="1:6" ht="15.75" customHeight="1" x14ac:dyDescent="0.15">
      <c r="A35" s="3">
        <v>37740</v>
      </c>
      <c r="B35">
        <v>914.84</v>
      </c>
      <c r="C35" s="1">
        <v>924.24</v>
      </c>
      <c r="D35" s="1">
        <v>911.1</v>
      </c>
      <c r="E35" s="1">
        <v>917.84</v>
      </c>
      <c r="F35" s="1">
        <v>152560000</v>
      </c>
    </row>
    <row r="36" spans="1:6" ht="15.75" customHeight="1" x14ac:dyDescent="0.15">
      <c r="A36" s="3">
        <v>37741</v>
      </c>
      <c r="B36">
        <v>917.34</v>
      </c>
      <c r="C36" s="1">
        <v>922.01</v>
      </c>
      <c r="D36" s="1">
        <v>911.7</v>
      </c>
      <c r="E36" s="1">
        <v>916.92</v>
      </c>
      <c r="F36" s="1">
        <v>178851008</v>
      </c>
    </row>
    <row r="37" spans="1:6" ht="15.75" customHeight="1" x14ac:dyDescent="0.15">
      <c r="A37" s="3">
        <v>37742</v>
      </c>
      <c r="B37">
        <v>916.8</v>
      </c>
      <c r="C37" s="1">
        <v>919.68</v>
      </c>
      <c r="D37" s="1">
        <v>902.83</v>
      </c>
      <c r="E37" s="1">
        <v>916.3</v>
      </c>
      <c r="F37" s="1">
        <v>139750000</v>
      </c>
    </row>
    <row r="38" spans="1:6" ht="15.75" customHeight="1" x14ac:dyDescent="0.15">
      <c r="A38" s="3">
        <v>37743</v>
      </c>
      <c r="B38">
        <v>915.08</v>
      </c>
      <c r="C38" s="1">
        <v>930.56</v>
      </c>
      <c r="D38" s="1">
        <v>912.35</v>
      </c>
      <c r="E38" s="1">
        <v>930.08</v>
      </c>
      <c r="F38" s="1">
        <v>155430000</v>
      </c>
    </row>
    <row r="39" spans="1:6" ht="15.75" customHeight="1" x14ac:dyDescent="0.15">
      <c r="A39" s="3">
        <v>37746</v>
      </c>
      <c r="B39">
        <v>930.57</v>
      </c>
      <c r="C39" s="1">
        <v>933.88</v>
      </c>
      <c r="D39" s="1">
        <v>924.55</v>
      </c>
      <c r="E39" s="1">
        <v>926.55</v>
      </c>
      <c r="F39" s="1">
        <v>144630000</v>
      </c>
    </row>
    <row r="40" spans="1:6" ht="13" x14ac:dyDescent="0.15">
      <c r="A40" s="3">
        <v>37747</v>
      </c>
      <c r="B40">
        <v>926.38</v>
      </c>
      <c r="C40" s="1">
        <v>939.61</v>
      </c>
      <c r="D40" s="1">
        <v>926.38</v>
      </c>
      <c r="E40" s="1">
        <v>934.39</v>
      </c>
      <c r="F40" s="1">
        <v>164960000</v>
      </c>
    </row>
    <row r="41" spans="1:6" ht="13" x14ac:dyDescent="0.15">
      <c r="A41" s="3">
        <v>37748</v>
      </c>
      <c r="B41">
        <v>932.75</v>
      </c>
      <c r="C41" s="1">
        <v>937.22</v>
      </c>
      <c r="D41" s="1">
        <v>926.41</v>
      </c>
      <c r="E41" s="1">
        <v>929.62</v>
      </c>
      <c r="F41" s="1">
        <v>153190000</v>
      </c>
    </row>
    <row r="42" spans="1:6" ht="13" x14ac:dyDescent="0.15">
      <c r="A42" s="3">
        <v>37749</v>
      </c>
      <c r="B42">
        <v>929.62</v>
      </c>
      <c r="C42" s="1">
        <v>929.62</v>
      </c>
      <c r="D42" s="1">
        <v>919.72</v>
      </c>
      <c r="E42" s="1">
        <v>920.27</v>
      </c>
      <c r="F42" s="1">
        <v>137960000</v>
      </c>
    </row>
    <row r="43" spans="1:6" ht="13" x14ac:dyDescent="0.15">
      <c r="A43" s="3">
        <v>37750</v>
      </c>
      <c r="B43">
        <v>921.85</v>
      </c>
      <c r="C43" s="1">
        <v>933.77</v>
      </c>
      <c r="D43" s="1">
        <v>921.85</v>
      </c>
      <c r="E43" s="1">
        <v>933.41</v>
      </c>
      <c r="F43" s="1">
        <v>132610000</v>
      </c>
    </row>
    <row r="44" spans="1:6" ht="13" x14ac:dyDescent="0.15">
      <c r="A44" s="3">
        <v>37753</v>
      </c>
      <c r="B44">
        <v>933.05</v>
      </c>
      <c r="C44" s="1">
        <v>946.84</v>
      </c>
      <c r="D44" s="1">
        <v>929.3</v>
      </c>
      <c r="E44" s="1">
        <v>945.11</v>
      </c>
      <c r="F44" s="1">
        <v>137880000</v>
      </c>
    </row>
    <row r="45" spans="1:6" ht="13" x14ac:dyDescent="0.15">
      <c r="A45" s="3">
        <v>37754</v>
      </c>
      <c r="B45">
        <v>945.11</v>
      </c>
      <c r="C45" s="1">
        <v>947.51</v>
      </c>
      <c r="D45" s="1">
        <v>938.91</v>
      </c>
      <c r="E45" s="1">
        <v>942.3</v>
      </c>
      <c r="F45" s="1">
        <v>141810000</v>
      </c>
    </row>
    <row r="46" spans="1:6" ht="13" x14ac:dyDescent="0.15">
      <c r="A46" s="3">
        <v>37755</v>
      </c>
      <c r="B46">
        <v>943.18</v>
      </c>
      <c r="C46" s="1">
        <v>947.29</v>
      </c>
      <c r="D46" s="1">
        <v>935.24</v>
      </c>
      <c r="E46" s="1">
        <v>939.28</v>
      </c>
      <c r="F46" s="1">
        <v>140180000</v>
      </c>
    </row>
    <row r="47" spans="1:6" ht="13" x14ac:dyDescent="0.15">
      <c r="A47" s="3">
        <v>37756</v>
      </c>
      <c r="B47">
        <v>940.47</v>
      </c>
      <c r="C47" s="1">
        <v>948.23</v>
      </c>
      <c r="D47" s="1">
        <v>938.79</v>
      </c>
      <c r="E47" s="1">
        <v>946.67</v>
      </c>
      <c r="F47" s="1">
        <v>150870000</v>
      </c>
    </row>
    <row r="48" spans="1:6" ht="13" x14ac:dyDescent="0.15">
      <c r="A48" s="3">
        <v>37757</v>
      </c>
      <c r="B48">
        <v>946.5</v>
      </c>
      <c r="C48" s="1">
        <v>948.65</v>
      </c>
      <c r="D48" s="1">
        <v>938.6</v>
      </c>
      <c r="E48" s="1">
        <v>944.3</v>
      </c>
      <c r="F48" s="1">
        <v>150550000</v>
      </c>
    </row>
    <row r="49" spans="1:6" ht="13" x14ac:dyDescent="0.15">
      <c r="A49" s="3">
        <v>37760</v>
      </c>
      <c r="B49">
        <v>942.46</v>
      </c>
      <c r="C49" s="1">
        <v>942.46</v>
      </c>
      <c r="D49" s="1">
        <v>920.23</v>
      </c>
      <c r="E49" s="1">
        <v>920.77</v>
      </c>
      <c r="F49" s="1">
        <v>137570000</v>
      </c>
    </row>
    <row r="50" spans="1:6" ht="13" x14ac:dyDescent="0.15">
      <c r="A50" s="3">
        <v>37761</v>
      </c>
      <c r="B50">
        <v>921.62</v>
      </c>
      <c r="C50" s="1">
        <v>925.34</v>
      </c>
      <c r="D50" s="1">
        <v>912.05</v>
      </c>
      <c r="E50" s="1">
        <v>919.73</v>
      </c>
      <c r="F50" s="1">
        <v>150530000</v>
      </c>
    </row>
    <row r="51" spans="1:6" ht="13" x14ac:dyDescent="0.15">
      <c r="A51" s="3">
        <v>37762</v>
      </c>
      <c r="B51">
        <v>919.01</v>
      </c>
      <c r="C51" s="1">
        <v>923.85</v>
      </c>
      <c r="D51" s="1">
        <v>914.91</v>
      </c>
      <c r="E51" s="1">
        <v>923.42</v>
      </c>
      <c r="F51" s="1">
        <v>145780000</v>
      </c>
    </row>
    <row r="52" spans="1:6" ht="13" x14ac:dyDescent="0.15">
      <c r="A52" s="3">
        <v>37763</v>
      </c>
      <c r="B52">
        <v>923.53</v>
      </c>
      <c r="C52" s="1">
        <v>935.3</v>
      </c>
      <c r="D52" s="1">
        <v>922.54</v>
      </c>
      <c r="E52" s="1">
        <v>931.87</v>
      </c>
      <c r="F52" s="1">
        <v>144850000</v>
      </c>
    </row>
    <row r="53" spans="1:6" ht="13" x14ac:dyDescent="0.15">
      <c r="A53" s="3">
        <v>37764</v>
      </c>
      <c r="B53">
        <v>931.68</v>
      </c>
      <c r="C53" s="1">
        <v>935.2</v>
      </c>
      <c r="D53" s="1">
        <v>927.42</v>
      </c>
      <c r="E53" s="1">
        <v>933.22</v>
      </c>
      <c r="F53" s="1">
        <v>120100000</v>
      </c>
    </row>
    <row r="54" spans="1:6" ht="13" x14ac:dyDescent="0.15">
      <c r="A54" s="3">
        <v>37768</v>
      </c>
      <c r="B54">
        <v>932.16</v>
      </c>
      <c r="C54" s="1">
        <v>952.76</v>
      </c>
      <c r="D54" s="1">
        <v>927.33</v>
      </c>
      <c r="E54" s="1">
        <v>951.48</v>
      </c>
      <c r="F54" s="1">
        <v>153200000</v>
      </c>
    </row>
    <row r="55" spans="1:6" ht="13" x14ac:dyDescent="0.15">
      <c r="A55" s="3">
        <v>37769</v>
      </c>
      <c r="B55">
        <v>951.78</v>
      </c>
      <c r="C55" s="1">
        <v>959.39</v>
      </c>
      <c r="D55" s="1">
        <v>950.12</v>
      </c>
      <c r="E55" s="1">
        <v>953.22</v>
      </c>
      <c r="F55" s="1">
        <v>155900000</v>
      </c>
    </row>
    <row r="56" spans="1:6" ht="13" x14ac:dyDescent="0.15">
      <c r="A56" s="3">
        <v>37770</v>
      </c>
      <c r="B56">
        <v>953.22</v>
      </c>
      <c r="C56" s="1">
        <v>962.08</v>
      </c>
      <c r="D56" s="1">
        <v>946.23</v>
      </c>
      <c r="E56" s="1">
        <v>949.64</v>
      </c>
      <c r="F56" s="1">
        <v>168580000</v>
      </c>
    </row>
    <row r="57" spans="1:6" ht="13" x14ac:dyDescent="0.15">
      <c r="A57" s="3">
        <v>37771</v>
      </c>
      <c r="B57">
        <v>950.7</v>
      </c>
      <c r="C57" s="1">
        <v>965.38</v>
      </c>
      <c r="D57" s="1">
        <v>950.7</v>
      </c>
      <c r="E57" s="1">
        <v>963.59</v>
      </c>
      <c r="F57" s="1">
        <v>168880000</v>
      </c>
    </row>
    <row r="58" spans="1:6" ht="13" x14ac:dyDescent="0.15">
      <c r="A58" s="3">
        <v>37774</v>
      </c>
      <c r="B58">
        <v>965.31</v>
      </c>
      <c r="C58" s="1">
        <v>979.11</v>
      </c>
      <c r="D58" s="1">
        <v>965.31</v>
      </c>
      <c r="E58" s="1">
        <v>967</v>
      </c>
      <c r="F58" s="1">
        <v>166250000</v>
      </c>
    </row>
    <row r="59" spans="1:6" ht="13" x14ac:dyDescent="0.15">
      <c r="A59" s="3">
        <v>37775</v>
      </c>
      <c r="B59">
        <v>967.07</v>
      </c>
      <c r="C59" s="1">
        <v>973.02</v>
      </c>
      <c r="D59" s="1">
        <v>964.47</v>
      </c>
      <c r="E59" s="1">
        <v>971.56</v>
      </c>
      <c r="F59" s="1">
        <v>145020000</v>
      </c>
    </row>
    <row r="60" spans="1:6" ht="13" x14ac:dyDescent="0.15">
      <c r="A60" s="3">
        <v>37776</v>
      </c>
      <c r="B60">
        <v>971.69</v>
      </c>
      <c r="C60" s="1">
        <v>987.85</v>
      </c>
      <c r="D60" s="1">
        <v>970.72</v>
      </c>
      <c r="E60" s="1">
        <v>986.24</v>
      </c>
      <c r="F60" s="1">
        <v>161870000</v>
      </c>
    </row>
    <row r="61" spans="1:6" ht="13" x14ac:dyDescent="0.15">
      <c r="A61" s="3">
        <v>37777</v>
      </c>
      <c r="B61">
        <v>983.94</v>
      </c>
      <c r="C61" s="1">
        <v>990.14</v>
      </c>
      <c r="D61" s="1">
        <v>978.13</v>
      </c>
      <c r="E61" s="1">
        <v>990.14</v>
      </c>
      <c r="F61" s="1">
        <v>169310000</v>
      </c>
    </row>
    <row r="62" spans="1:6" ht="13" x14ac:dyDescent="0.15">
      <c r="A62" s="3">
        <v>37778</v>
      </c>
      <c r="B62">
        <v>990.14</v>
      </c>
      <c r="C62" s="1">
        <v>1007.69</v>
      </c>
      <c r="D62" s="1">
        <v>986.01</v>
      </c>
      <c r="E62" s="1">
        <v>987.76</v>
      </c>
      <c r="F62" s="1">
        <v>183720000</v>
      </c>
    </row>
    <row r="63" spans="1:6" ht="13" x14ac:dyDescent="0.15">
      <c r="A63" s="3">
        <v>37781</v>
      </c>
      <c r="B63">
        <v>986.82</v>
      </c>
      <c r="C63" s="1">
        <v>986.82</v>
      </c>
      <c r="D63" s="1">
        <v>972.59</v>
      </c>
      <c r="E63" s="1">
        <v>975.93</v>
      </c>
      <c r="F63" s="1">
        <v>130700000</v>
      </c>
    </row>
    <row r="64" spans="1:6" ht="13" x14ac:dyDescent="0.15">
      <c r="A64" s="3">
        <v>37782</v>
      </c>
      <c r="B64">
        <v>975.93</v>
      </c>
      <c r="C64" s="1">
        <v>984.84</v>
      </c>
      <c r="D64" s="1">
        <v>975.93</v>
      </c>
      <c r="E64" s="1">
        <v>984.84</v>
      </c>
      <c r="F64" s="1">
        <v>127540000</v>
      </c>
    </row>
    <row r="65" spans="1:6" ht="13" x14ac:dyDescent="0.15">
      <c r="A65" s="3">
        <v>37783</v>
      </c>
      <c r="B65">
        <v>984.84</v>
      </c>
      <c r="C65" s="1">
        <v>997.48</v>
      </c>
      <c r="D65" s="1">
        <v>981.61</v>
      </c>
      <c r="E65" s="1">
        <v>997.48</v>
      </c>
      <c r="F65" s="1">
        <v>152000000</v>
      </c>
    </row>
    <row r="66" spans="1:6" ht="13" x14ac:dyDescent="0.15">
      <c r="A66" s="3">
        <v>37784</v>
      </c>
      <c r="B66">
        <v>997.48</v>
      </c>
      <c r="C66" s="1">
        <v>1002.74</v>
      </c>
      <c r="D66" s="1">
        <v>991.27</v>
      </c>
      <c r="E66" s="1">
        <v>998.51</v>
      </c>
      <c r="F66" s="1">
        <v>155310000</v>
      </c>
    </row>
    <row r="67" spans="1:6" ht="13" x14ac:dyDescent="0.15">
      <c r="A67" s="3">
        <v>37785</v>
      </c>
      <c r="B67">
        <v>999.02</v>
      </c>
      <c r="C67" s="1">
        <v>1000.92</v>
      </c>
      <c r="D67" s="1">
        <v>984.27</v>
      </c>
      <c r="E67" s="1">
        <v>988.61</v>
      </c>
      <c r="F67" s="1">
        <v>127160000</v>
      </c>
    </row>
    <row r="68" spans="1:6" ht="13" x14ac:dyDescent="0.15">
      <c r="A68" s="3">
        <v>37788</v>
      </c>
      <c r="B68">
        <v>988.61</v>
      </c>
      <c r="C68" s="1">
        <v>1010.86</v>
      </c>
      <c r="D68" s="1">
        <v>988.61</v>
      </c>
      <c r="E68" s="1">
        <v>1010.74</v>
      </c>
      <c r="F68" s="1">
        <v>134590000</v>
      </c>
    </row>
    <row r="69" spans="1:6" ht="13" x14ac:dyDescent="0.15">
      <c r="A69" s="3">
        <v>37789</v>
      </c>
      <c r="B69">
        <v>1011.35</v>
      </c>
      <c r="C69" s="1">
        <v>1015.33</v>
      </c>
      <c r="D69" s="1">
        <v>1007.04</v>
      </c>
      <c r="E69" s="1">
        <v>1011.66</v>
      </c>
      <c r="F69" s="1">
        <v>147970000</v>
      </c>
    </row>
    <row r="70" spans="1:6" ht="13" x14ac:dyDescent="0.15">
      <c r="A70" s="3">
        <v>37790</v>
      </c>
      <c r="B70">
        <v>1011.14</v>
      </c>
      <c r="C70" s="1">
        <v>1015.12</v>
      </c>
      <c r="D70" s="1">
        <v>1004.61</v>
      </c>
      <c r="E70" s="1">
        <v>1010.09</v>
      </c>
      <c r="F70" s="1">
        <v>148890000</v>
      </c>
    </row>
    <row r="71" spans="1:6" ht="13" x14ac:dyDescent="0.15">
      <c r="A71" s="3">
        <v>37791</v>
      </c>
      <c r="B71">
        <v>1010.05</v>
      </c>
      <c r="C71" s="1">
        <v>1011.22</v>
      </c>
      <c r="D71" s="1">
        <v>993.08</v>
      </c>
      <c r="E71" s="1">
        <v>994.7</v>
      </c>
      <c r="F71" s="1">
        <v>153010000</v>
      </c>
    </row>
    <row r="72" spans="1:6" ht="13" x14ac:dyDescent="0.15">
      <c r="A72" s="3">
        <v>37792</v>
      </c>
      <c r="B72">
        <v>996.13</v>
      </c>
      <c r="C72" s="1">
        <v>1002.09</v>
      </c>
      <c r="D72" s="1">
        <v>993.36</v>
      </c>
      <c r="E72" s="1">
        <v>995.69</v>
      </c>
      <c r="F72" s="1">
        <v>169800000</v>
      </c>
    </row>
    <row r="73" spans="1:6" ht="13" x14ac:dyDescent="0.15">
      <c r="A73" s="3">
        <v>37795</v>
      </c>
      <c r="B73">
        <v>995.25</v>
      </c>
      <c r="C73" s="1">
        <v>995.25</v>
      </c>
      <c r="D73" s="1">
        <v>977.4</v>
      </c>
      <c r="E73" s="1">
        <v>981.64</v>
      </c>
      <c r="F73" s="1">
        <v>139810000</v>
      </c>
    </row>
    <row r="74" spans="1:6" ht="13" x14ac:dyDescent="0.15">
      <c r="A74" s="3">
        <v>37796</v>
      </c>
      <c r="B74">
        <v>980.68</v>
      </c>
      <c r="C74" s="1">
        <v>987.84</v>
      </c>
      <c r="D74" s="1">
        <v>979.08</v>
      </c>
      <c r="E74" s="1">
        <v>983.45</v>
      </c>
      <c r="F74" s="1">
        <v>138830000</v>
      </c>
    </row>
    <row r="75" spans="1:6" ht="13" x14ac:dyDescent="0.15">
      <c r="A75" s="3">
        <v>37797</v>
      </c>
      <c r="B75">
        <v>983.58</v>
      </c>
      <c r="C75" s="1">
        <v>991.64</v>
      </c>
      <c r="D75" s="1">
        <v>974.86</v>
      </c>
      <c r="E75" s="1">
        <v>975.32</v>
      </c>
      <c r="F75" s="1">
        <v>145920000</v>
      </c>
    </row>
    <row r="76" spans="1:6" ht="13" x14ac:dyDescent="0.15">
      <c r="A76" s="3">
        <v>37798</v>
      </c>
      <c r="B76">
        <v>976.42</v>
      </c>
      <c r="C76" s="1">
        <v>986.53</v>
      </c>
      <c r="D76" s="1">
        <v>973.8</v>
      </c>
      <c r="E76" s="1">
        <v>985.82</v>
      </c>
      <c r="F76" s="1">
        <v>138740000</v>
      </c>
    </row>
    <row r="77" spans="1:6" ht="13" x14ac:dyDescent="0.15">
      <c r="A77" s="3">
        <v>37799</v>
      </c>
      <c r="B77">
        <v>985.82</v>
      </c>
      <c r="C77" s="1">
        <v>988.88</v>
      </c>
      <c r="D77" s="1">
        <v>974.03</v>
      </c>
      <c r="E77" s="1">
        <v>976.22</v>
      </c>
      <c r="F77" s="1">
        <v>126780000</v>
      </c>
    </row>
    <row r="78" spans="1:6" ht="13" x14ac:dyDescent="0.15">
      <c r="A78" s="3">
        <v>37802</v>
      </c>
      <c r="B78">
        <v>977.35</v>
      </c>
      <c r="C78" s="1">
        <v>983.61</v>
      </c>
      <c r="D78" s="1">
        <v>973.6</v>
      </c>
      <c r="E78" s="1">
        <v>974.5</v>
      </c>
      <c r="F78" s="1">
        <v>158720000</v>
      </c>
    </row>
    <row r="79" spans="1:6" ht="13" x14ac:dyDescent="0.15">
      <c r="A79" s="3">
        <v>37803</v>
      </c>
      <c r="B79">
        <v>973.83</v>
      </c>
      <c r="C79" s="1">
        <v>983.26</v>
      </c>
      <c r="D79" s="1">
        <v>962.1</v>
      </c>
      <c r="E79" s="1">
        <v>982.32</v>
      </c>
      <c r="F79" s="1">
        <v>146020000</v>
      </c>
    </row>
    <row r="80" spans="1:6" ht="13" x14ac:dyDescent="0.15">
      <c r="A80" s="3">
        <v>37804</v>
      </c>
      <c r="B80">
        <v>983.34</v>
      </c>
      <c r="C80" s="1">
        <v>993.78</v>
      </c>
      <c r="D80" s="1">
        <v>983.34</v>
      </c>
      <c r="E80" s="1">
        <v>993.75</v>
      </c>
      <c r="F80" s="1">
        <v>151930000</v>
      </c>
    </row>
    <row r="81" spans="1:6" ht="13" x14ac:dyDescent="0.15">
      <c r="A81" s="3">
        <v>37805</v>
      </c>
      <c r="B81">
        <v>992.55</v>
      </c>
      <c r="C81" s="1">
        <v>995</v>
      </c>
      <c r="D81" s="1">
        <v>983.34</v>
      </c>
      <c r="E81" s="1">
        <v>985.7</v>
      </c>
      <c r="F81" s="1">
        <v>37590000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73"/>
  <sheetViews>
    <sheetView workbookViewId="0"/>
  </sheetViews>
  <sheetFormatPr baseColWidth="10" defaultColWidth="14.5" defaultRowHeight="15.75" customHeight="1" x14ac:dyDescent="0.15"/>
  <cols>
    <col min="1" max="1" width="10.1640625" style="3" bestFit="1" customWidth="1"/>
    <col min="2" max="5" width="7.83203125" customWidth="1"/>
    <col min="6" max="6" width="11.5" customWidth="1"/>
  </cols>
  <sheetData>
    <row r="1" spans="1:6" ht="15.75" customHeight="1" x14ac:dyDescent="0.15">
      <c r="A1" s="3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3">
        <v>41701</v>
      </c>
      <c r="B2">
        <v>1857.68</v>
      </c>
      <c r="C2" s="1">
        <v>1857.68</v>
      </c>
      <c r="D2" s="1">
        <v>1834.44</v>
      </c>
      <c r="E2" s="1">
        <v>1845.73</v>
      </c>
      <c r="F2" s="1">
        <v>498448768</v>
      </c>
    </row>
    <row r="3" spans="1:6" ht="15.75" customHeight="1" x14ac:dyDescent="0.15">
      <c r="A3" s="3">
        <v>41702</v>
      </c>
      <c r="B3">
        <v>1849.23</v>
      </c>
      <c r="C3" s="1">
        <v>1876.23</v>
      </c>
      <c r="D3" s="1">
        <v>1849.23</v>
      </c>
      <c r="E3" s="1">
        <v>1873.91</v>
      </c>
      <c r="F3" s="1">
        <v>544430336</v>
      </c>
    </row>
    <row r="4" spans="1:6" ht="15.75" customHeight="1" x14ac:dyDescent="0.15">
      <c r="A4" s="3">
        <v>41703</v>
      </c>
      <c r="B4">
        <v>1874.05</v>
      </c>
      <c r="C4" s="1">
        <v>1876.53</v>
      </c>
      <c r="D4" s="1">
        <v>1871.11</v>
      </c>
      <c r="E4" s="1">
        <v>1873.81</v>
      </c>
      <c r="F4" s="1">
        <v>482063616</v>
      </c>
    </row>
    <row r="5" spans="1:6" ht="15.75" customHeight="1" x14ac:dyDescent="0.15">
      <c r="A5" s="3">
        <v>41704</v>
      </c>
      <c r="B5">
        <v>1874.18</v>
      </c>
      <c r="C5" s="1">
        <v>1881.94</v>
      </c>
      <c r="D5" s="1">
        <v>1874.18</v>
      </c>
      <c r="E5" s="1">
        <v>1877.03</v>
      </c>
      <c r="F5" s="1">
        <v>498552704</v>
      </c>
    </row>
    <row r="6" spans="1:6" ht="15.75" customHeight="1" x14ac:dyDescent="0.15">
      <c r="A6" s="3">
        <v>41705</v>
      </c>
      <c r="B6">
        <v>1878.52</v>
      </c>
      <c r="C6" s="1">
        <v>1883.57</v>
      </c>
      <c r="D6" s="1">
        <v>1870.56</v>
      </c>
      <c r="E6" s="1">
        <v>1878.04</v>
      </c>
      <c r="F6" s="1">
        <v>497019936</v>
      </c>
    </row>
    <row r="7" spans="1:6" ht="15.75" customHeight="1" x14ac:dyDescent="0.15">
      <c r="A7" s="3">
        <v>41708</v>
      </c>
      <c r="B7">
        <v>1877.86</v>
      </c>
      <c r="C7" s="1">
        <v>1877.87</v>
      </c>
      <c r="D7" s="1">
        <v>1867.04</v>
      </c>
      <c r="E7" s="1">
        <v>1877.17</v>
      </c>
      <c r="F7" s="1">
        <v>430730688</v>
      </c>
    </row>
    <row r="8" spans="1:6" ht="15.75" customHeight="1" x14ac:dyDescent="0.15">
      <c r="A8" s="3">
        <v>41709</v>
      </c>
      <c r="B8">
        <v>1878.26</v>
      </c>
      <c r="C8" s="1">
        <v>1882.35</v>
      </c>
      <c r="D8" s="1">
        <v>1863.88</v>
      </c>
      <c r="E8" s="1">
        <v>1867.63</v>
      </c>
      <c r="F8" s="1">
        <v>442974144</v>
      </c>
    </row>
    <row r="9" spans="1:6" ht="15.75" customHeight="1" x14ac:dyDescent="0.15">
      <c r="A9" s="3">
        <v>41710</v>
      </c>
      <c r="B9">
        <v>1866.15</v>
      </c>
      <c r="C9" s="1">
        <v>1868.38</v>
      </c>
      <c r="D9" s="1">
        <v>1854.38</v>
      </c>
      <c r="E9" s="1">
        <v>1868.2</v>
      </c>
      <c r="F9" s="1">
        <v>449356704</v>
      </c>
    </row>
    <row r="10" spans="1:6" ht="15.75" customHeight="1" x14ac:dyDescent="0.15">
      <c r="A10" s="3">
        <v>41711</v>
      </c>
      <c r="B10">
        <v>1869.06</v>
      </c>
      <c r="C10" s="1">
        <v>1874.4</v>
      </c>
      <c r="D10" s="1">
        <v>1841.86</v>
      </c>
      <c r="E10" s="1">
        <v>1846.34</v>
      </c>
      <c r="F10" s="1">
        <v>512705472</v>
      </c>
    </row>
    <row r="11" spans="1:6" ht="15.75" customHeight="1" x14ac:dyDescent="0.15">
      <c r="A11" s="3">
        <v>41712</v>
      </c>
      <c r="B11">
        <v>1845.07</v>
      </c>
      <c r="C11" s="1">
        <v>1852.44</v>
      </c>
      <c r="D11" s="1">
        <v>1839.57</v>
      </c>
      <c r="E11" s="1">
        <v>1841.13</v>
      </c>
      <c r="F11" s="1">
        <v>491435968</v>
      </c>
    </row>
    <row r="12" spans="1:6" ht="15.75" customHeight="1" x14ac:dyDescent="0.15">
      <c r="A12" s="3">
        <v>41715</v>
      </c>
      <c r="B12">
        <v>1842.81</v>
      </c>
      <c r="C12" s="1">
        <v>1862.3</v>
      </c>
      <c r="D12" s="1">
        <v>1842.81</v>
      </c>
      <c r="E12" s="1">
        <v>1858.83</v>
      </c>
      <c r="F12" s="1">
        <v>452577696</v>
      </c>
    </row>
    <row r="13" spans="1:6" ht="15.75" customHeight="1" x14ac:dyDescent="0.15">
      <c r="A13" s="3">
        <v>41716</v>
      </c>
      <c r="B13">
        <v>1858.92</v>
      </c>
      <c r="C13" s="1">
        <v>1873.76</v>
      </c>
      <c r="D13" s="1">
        <v>1858.92</v>
      </c>
      <c r="E13" s="1">
        <v>1872.25</v>
      </c>
      <c r="F13" s="1">
        <v>408679072</v>
      </c>
    </row>
    <row r="14" spans="1:6" ht="15.75" customHeight="1" x14ac:dyDescent="0.15">
      <c r="A14" s="3">
        <v>41717</v>
      </c>
      <c r="B14">
        <v>1872.25</v>
      </c>
      <c r="C14" s="1">
        <v>1874.14</v>
      </c>
      <c r="D14" s="1">
        <v>1850.35</v>
      </c>
      <c r="E14" s="1">
        <v>1860.77</v>
      </c>
      <c r="F14" s="1">
        <v>499471264</v>
      </c>
    </row>
    <row r="15" spans="1:6" ht="15.75" customHeight="1" x14ac:dyDescent="0.15">
      <c r="A15" s="3">
        <v>41718</v>
      </c>
      <c r="B15">
        <v>1860.09</v>
      </c>
      <c r="C15" s="1">
        <v>1873.49</v>
      </c>
      <c r="D15" s="1">
        <v>1854.63</v>
      </c>
      <c r="E15" s="1">
        <v>1872.01</v>
      </c>
      <c r="F15" s="1">
        <v>466686112</v>
      </c>
    </row>
    <row r="16" spans="1:6" ht="15.75" customHeight="1" x14ac:dyDescent="0.15">
      <c r="A16" s="3">
        <v>41719</v>
      </c>
      <c r="B16">
        <v>1874.53</v>
      </c>
      <c r="C16" s="1">
        <v>1883.97</v>
      </c>
      <c r="D16" s="1">
        <v>1863.46</v>
      </c>
      <c r="E16" s="1">
        <v>1866.4</v>
      </c>
      <c r="F16" s="1">
        <v>467074272</v>
      </c>
    </row>
    <row r="17" spans="1:6" ht="15.75" customHeight="1" x14ac:dyDescent="0.15">
      <c r="A17" s="3">
        <v>41722</v>
      </c>
      <c r="B17">
        <v>1867.67</v>
      </c>
      <c r="C17" s="1">
        <v>1873.34</v>
      </c>
      <c r="D17" s="1">
        <v>1849.69</v>
      </c>
      <c r="E17" s="1">
        <v>1857.44</v>
      </c>
      <c r="F17" s="1">
        <v>587997696</v>
      </c>
    </row>
    <row r="18" spans="1:6" ht="15.75" customHeight="1" x14ac:dyDescent="0.15">
      <c r="A18" s="3">
        <v>41723</v>
      </c>
      <c r="B18">
        <v>1859.48</v>
      </c>
      <c r="C18" s="1">
        <v>1871.87</v>
      </c>
      <c r="D18" s="1">
        <v>1855.96</v>
      </c>
      <c r="E18" s="1">
        <v>1865.62</v>
      </c>
      <c r="F18" s="1">
        <v>491555168</v>
      </c>
    </row>
    <row r="19" spans="1:6" ht="15.75" customHeight="1" x14ac:dyDescent="0.15">
      <c r="A19" s="3">
        <v>41724</v>
      </c>
      <c r="B19">
        <v>1867.09</v>
      </c>
      <c r="C19" s="1">
        <v>1875.92</v>
      </c>
      <c r="D19" s="1">
        <v>1852.56</v>
      </c>
      <c r="E19" s="1">
        <v>1852.56</v>
      </c>
      <c r="F19" s="1">
        <v>557786240</v>
      </c>
    </row>
    <row r="20" spans="1:6" ht="15.75" customHeight="1" x14ac:dyDescent="0.15">
      <c r="A20" s="3">
        <v>41725</v>
      </c>
      <c r="B20">
        <v>1852.11</v>
      </c>
      <c r="C20" s="1">
        <v>1855.55</v>
      </c>
      <c r="D20" s="1">
        <v>1842.11</v>
      </c>
      <c r="E20" s="1">
        <v>1849.04</v>
      </c>
      <c r="F20" s="1">
        <v>582975808</v>
      </c>
    </row>
    <row r="21" spans="1:6" ht="15.75" customHeight="1" x14ac:dyDescent="0.15">
      <c r="A21" s="3">
        <v>41726</v>
      </c>
      <c r="B21">
        <v>1850.07</v>
      </c>
      <c r="C21" s="1">
        <v>1866.63</v>
      </c>
      <c r="D21" s="1">
        <v>1850.07</v>
      </c>
      <c r="E21" s="1">
        <v>1857.62</v>
      </c>
      <c r="F21" s="1">
        <v>453530272</v>
      </c>
    </row>
    <row r="22" spans="1:6" ht="15.75" customHeight="1" x14ac:dyDescent="0.15">
      <c r="A22" s="3">
        <v>41729</v>
      </c>
      <c r="B22">
        <v>1859.16</v>
      </c>
      <c r="C22" s="1">
        <v>1875.18</v>
      </c>
      <c r="D22" s="1">
        <v>1859.16</v>
      </c>
      <c r="E22" s="1">
        <v>1872.34</v>
      </c>
      <c r="F22" s="1">
        <v>577791232</v>
      </c>
    </row>
    <row r="23" spans="1:6" ht="15.75" customHeight="1" x14ac:dyDescent="0.15">
      <c r="A23" s="3">
        <v>41730</v>
      </c>
      <c r="B23">
        <v>1873.96</v>
      </c>
      <c r="C23" s="1">
        <v>1885.84</v>
      </c>
      <c r="D23" s="1">
        <v>1873.96</v>
      </c>
      <c r="E23" s="1">
        <v>1885.52</v>
      </c>
      <c r="F23" s="1">
        <v>517284000</v>
      </c>
    </row>
    <row r="24" spans="1:6" ht="15.75" customHeight="1" x14ac:dyDescent="0.15">
      <c r="A24" s="3">
        <v>41731</v>
      </c>
      <c r="B24">
        <v>1886.61</v>
      </c>
      <c r="C24" s="1">
        <v>1893.17</v>
      </c>
      <c r="D24" s="1">
        <v>1883.79</v>
      </c>
      <c r="E24" s="1">
        <v>1890.9</v>
      </c>
      <c r="F24" s="1">
        <v>464985888</v>
      </c>
    </row>
    <row r="25" spans="1:6" ht="15.75" customHeight="1" x14ac:dyDescent="0.15">
      <c r="A25" s="3">
        <v>41732</v>
      </c>
      <c r="B25">
        <v>1891.43</v>
      </c>
      <c r="C25" s="1">
        <v>1893.8</v>
      </c>
      <c r="D25" s="1">
        <v>1882.65</v>
      </c>
      <c r="E25" s="1">
        <v>1888.77</v>
      </c>
      <c r="F25" s="1">
        <v>486754784</v>
      </c>
    </row>
    <row r="26" spans="1:6" ht="15.75" customHeight="1" x14ac:dyDescent="0.15">
      <c r="A26" s="3">
        <v>41733</v>
      </c>
      <c r="B26">
        <v>1890.25</v>
      </c>
      <c r="C26" s="1">
        <v>1897.28</v>
      </c>
      <c r="D26" s="1">
        <v>1863.26</v>
      </c>
      <c r="E26" s="1">
        <v>1865.09</v>
      </c>
      <c r="F26" s="1">
        <v>638944640</v>
      </c>
    </row>
    <row r="27" spans="1:6" ht="15.75" customHeight="1" x14ac:dyDescent="0.15">
      <c r="A27" s="3">
        <v>41736</v>
      </c>
      <c r="B27">
        <v>1863.92</v>
      </c>
      <c r="C27" s="1">
        <v>1864.04</v>
      </c>
      <c r="D27" s="1">
        <v>1841.48</v>
      </c>
      <c r="E27" s="1">
        <v>1845.04</v>
      </c>
      <c r="F27" s="1">
        <v>658198976</v>
      </c>
    </row>
    <row r="28" spans="1:6" ht="15.75" customHeight="1" x14ac:dyDescent="0.15">
      <c r="A28" s="3">
        <v>41737</v>
      </c>
      <c r="B28">
        <v>1845.48</v>
      </c>
      <c r="C28" s="1">
        <v>1854.95</v>
      </c>
      <c r="D28" s="1">
        <v>1837.49</v>
      </c>
      <c r="E28" s="1">
        <v>1851.96</v>
      </c>
      <c r="F28" s="1">
        <v>552294976</v>
      </c>
    </row>
    <row r="29" spans="1:6" ht="15.75" customHeight="1" x14ac:dyDescent="0.15">
      <c r="A29" s="3">
        <v>41738</v>
      </c>
      <c r="B29">
        <v>1852.64</v>
      </c>
      <c r="C29" s="1">
        <v>1872.43</v>
      </c>
      <c r="D29" s="1">
        <v>1852.38</v>
      </c>
      <c r="E29" s="1">
        <v>1872.18</v>
      </c>
      <c r="F29" s="1">
        <v>528252320</v>
      </c>
    </row>
    <row r="30" spans="1:6" ht="15.75" customHeight="1" x14ac:dyDescent="0.15">
      <c r="A30" s="3">
        <v>41739</v>
      </c>
      <c r="B30">
        <v>1872.28</v>
      </c>
      <c r="C30" s="1">
        <v>1872.53</v>
      </c>
      <c r="D30" s="1">
        <v>1830.87</v>
      </c>
      <c r="E30" s="1">
        <v>1833.08</v>
      </c>
      <c r="F30" s="1">
        <v>636842176</v>
      </c>
    </row>
    <row r="31" spans="1:6" ht="15.75" customHeight="1" x14ac:dyDescent="0.15">
      <c r="A31" s="3">
        <v>41740</v>
      </c>
      <c r="B31">
        <v>1830.65</v>
      </c>
      <c r="C31" s="1">
        <v>1835.07</v>
      </c>
      <c r="D31" s="1">
        <v>1814.36</v>
      </c>
      <c r="E31" s="1">
        <v>1815.69</v>
      </c>
      <c r="F31" s="1">
        <v>662168000</v>
      </c>
    </row>
    <row r="32" spans="1:6" ht="15.75" customHeight="1" x14ac:dyDescent="0.15">
      <c r="A32" s="3">
        <v>41743</v>
      </c>
      <c r="B32">
        <v>1818.18</v>
      </c>
      <c r="C32" s="1">
        <v>1834.19</v>
      </c>
      <c r="D32" s="1">
        <v>1815.8</v>
      </c>
      <c r="E32" s="1">
        <v>1830.61</v>
      </c>
      <c r="F32" s="1">
        <v>524937984</v>
      </c>
    </row>
    <row r="33" spans="1:6" ht="15.75" customHeight="1" x14ac:dyDescent="0.15">
      <c r="A33" s="3">
        <v>41744</v>
      </c>
      <c r="B33">
        <v>1831.45</v>
      </c>
      <c r="C33" s="1">
        <v>1844.02</v>
      </c>
      <c r="D33" s="1">
        <v>1816.29</v>
      </c>
      <c r="E33" s="1">
        <v>1842.98</v>
      </c>
      <c r="F33" s="1">
        <v>591081920</v>
      </c>
    </row>
    <row r="34" spans="1:6" ht="15.75" customHeight="1" x14ac:dyDescent="0.15">
      <c r="A34" s="3">
        <v>41745</v>
      </c>
      <c r="B34">
        <v>1846.01</v>
      </c>
      <c r="C34" s="1">
        <v>1862.31</v>
      </c>
      <c r="D34" s="1">
        <v>1846.01</v>
      </c>
      <c r="E34" s="1">
        <v>1862.31</v>
      </c>
      <c r="F34" s="1">
        <v>536467008</v>
      </c>
    </row>
    <row r="35" spans="1:6" ht="15.75" customHeight="1" x14ac:dyDescent="0.15">
      <c r="A35" s="3">
        <v>41746</v>
      </c>
      <c r="B35">
        <v>1861.73</v>
      </c>
      <c r="C35" s="1">
        <v>1869.63</v>
      </c>
      <c r="D35" s="1">
        <v>1856.72</v>
      </c>
      <c r="E35" s="1">
        <v>1864.85</v>
      </c>
      <c r="F35" s="1">
        <v>665615680</v>
      </c>
    </row>
    <row r="36" spans="1:6" ht="15.75" customHeight="1" x14ac:dyDescent="0.15">
      <c r="A36" s="3">
        <v>41750</v>
      </c>
      <c r="B36">
        <v>1865.79</v>
      </c>
      <c r="C36" s="1">
        <v>1871.89</v>
      </c>
      <c r="D36" s="1">
        <v>1863.18</v>
      </c>
      <c r="E36" s="1">
        <v>1871.89</v>
      </c>
      <c r="F36" s="1">
        <v>445363456</v>
      </c>
    </row>
    <row r="37" spans="1:6" ht="15.75" customHeight="1" x14ac:dyDescent="0.15">
      <c r="A37" s="3">
        <v>41751</v>
      </c>
      <c r="B37">
        <v>1872.57</v>
      </c>
      <c r="C37" s="1">
        <v>1884.89</v>
      </c>
      <c r="D37" s="1">
        <v>1872.57</v>
      </c>
      <c r="E37" s="1">
        <v>1879.55</v>
      </c>
      <c r="F37" s="1">
        <v>492930048</v>
      </c>
    </row>
    <row r="38" spans="1:6" ht="15.75" customHeight="1" x14ac:dyDescent="0.15">
      <c r="A38" s="3">
        <v>41752</v>
      </c>
      <c r="B38">
        <v>1879.32</v>
      </c>
      <c r="C38" s="1">
        <v>1879.75</v>
      </c>
      <c r="D38" s="1">
        <v>1873.91</v>
      </c>
      <c r="E38" s="1">
        <v>1875.39</v>
      </c>
      <c r="F38" s="1">
        <v>477160160</v>
      </c>
    </row>
    <row r="39" spans="1:6" ht="15.75" customHeight="1" x14ac:dyDescent="0.15">
      <c r="A39" s="3">
        <v>41753</v>
      </c>
      <c r="B39">
        <v>1881.97</v>
      </c>
      <c r="C39" s="1">
        <v>1884.06</v>
      </c>
      <c r="D39" s="1">
        <v>1870.24</v>
      </c>
      <c r="E39" s="1">
        <v>1878.61</v>
      </c>
      <c r="F39" s="1">
        <v>523635648</v>
      </c>
    </row>
    <row r="40" spans="1:6" ht="13" x14ac:dyDescent="0.15">
      <c r="A40" s="3">
        <v>41754</v>
      </c>
      <c r="B40">
        <v>1877.72</v>
      </c>
      <c r="C40" s="1">
        <v>1877.72</v>
      </c>
      <c r="D40" s="1">
        <v>1859.7</v>
      </c>
      <c r="E40" s="1">
        <v>1863.4</v>
      </c>
      <c r="F40" s="1">
        <v>526693760</v>
      </c>
    </row>
    <row r="41" spans="1:6" ht="13" x14ac:dyDescent="0.15">
      <c r="A41" s="3">
        <v>41757</v>
      </c>
      <c r="B41">
        <v>1865</v>
      </c>
      <c r="C41" s="1">
        <v>1877.01</v>
      </c>
      <c r="D41" s="1">
        <v>1850.61</v>
      </c>
      <c r="E41" s="1">
        <v>1869.43</v>
      </c>
      <c r="F41" s="1">
        <v>644484864</v>
      </c>
    </row>
    <row r="42" spans="1:6" ht="13" x14ac:dyDescent="0.15">
      <c r="A42" s="3">
        <v>41758</v>
      </c>
      <c r="B42">
        <v>1870.78</v>
      </c>
      <c r="C42" s="1">
        <v>1880.6</v>
      </c>
      <c r="D42" s="1">
        <v>1870.78</v>
      </c>
      <c r="E42" s="1">
        <v>1878.33</v>
      </c>
      <c r="F42" s="1">
        <v>489629056</v>
      </c>
    </row>
    <row r="43" spans="1:6" ht="13" x14ac:dyDescent="0.15">
      <c r="A43" s="3">
        <v>41759</v>
      </c>
      <c r="B43">
        <v>1877.1</v>
      </c>
      <c r="C43" s="1">
        <v>1885.2</v>
      </c>
      <c r="D43" s="1">
        <v>1872.69</v>
      </c>
      <c r="E43" s="1">
        <v>1883.95</v>
      </c>
      <c r="F43" s="1">
        <v>628293440</v>
      </c>
    </row>
    <row r="44" spans="1:6" ht="13" x14ac:dyDescent="0.15">
      <c r="A44" s="3">
        <v>41760</v>
      </c>
      <c r="B44">
        <v>1884.39</v>
      </c>
      <c r="C44" s="1">
        <v>1888.59</v>
      </c>
      <c r="D44" s="1">
        <v>1878.04</v>
      </c>
      <c r="E44" s="1">
        <v>1883.68</v>
      </c>
      <c r="F44" s="1">
        <v>467927456</v>
      </c>
    </row>
    <row r="45" spans="1:6" ht="13" x14ac:dyDescent="0.15">
      <c r="A45" s="3">
        <v>41761</v>
      </c>
      <c r="B45">
        <v>1885.3</v>
      </c>
      <c r="C45" s="1">
        <v>1891.33</v>
      </c>
      <c r="D45" s="1">
        <v>1878.5</v>
      </c>
      <c r="E45" s="1">
        <v>1881.14</v>
      </c>
      <c r="F45" s="1">
        <v>463646976</v>
      </c>
    </row>
    <row r="46" spans="1:6" ht="13" x14ac:dyDescent="0.15">
      <c r="A46" s="3">
        <v>41764</v>
      </c>
      <c r="B46">
        <v>1879.45</v>
      </c>
      <c r="C46" s="1">
        <v>1885.51</v>
      </c>
      <c r="D46" s="1">
        <v>1866.77</v>
      </c>
      <c r="E46" s="1">
        <v>1884.66</v>
      </c>
      <c r="F46" s="1">
        <v>417757888</v>
      </c>
    </row>
    <row r="47" spans="1:6" ht="13" x14ac:dyDescent="0.15">
      <c r="A47" s="3">
        <v>41765</v>
      </c>
      <c r="B47">
        <v>1883.69</v>
      </c>
      <c r="C47" s="1">
        <v>1883.69</v>
      </c>
      <c r="D47" s="1">
        <v>1867.72</v>
      </c>
      <c r="E47" s="1">
        <v>1867.72</v>
      </c>
      <c r="F47" s="1">
        <v>474352512</v>
      </c>
    </row>
    <row r="48" spans="1:6" ht="13" x14ac:dyDescent="0.15">
      <c r="A48" s="3">
        <v>41766</v>
      </c>
      <c r="B48">
        <v>1868.53</v>
      </c>
      <c r="C48" s="1">
        <v>1878.83</v>
      </c>
      <c r="D48" s="1">
        <v>1859.79</v>
      </c>
      <c r="E48" s="1">
        <v>1878.21</v>
      </c>
      <c r="F48" s="1">
        <v>563477184</v>
      </c>
    </row>
    <row r="49" spans="1:6" ht="13" x14ac:dyDescent="0.15">
      <c r="A49" s="3">
        <v>41767</v>
      </c>
      <c r="B49">
        <v>1877.39</v>
      </c>
      <c r="C49" s="1">
        <v>1889.07</v>
      </c>
      <c r="D49" s="1">
        <v>1870.05</v>
      </c>
      <c r="E49" s="1">
        <v>1875.63</v>
      </c>
      <c r="F49" s="1">
        <v>488601056</v>
      </c>
    </row>
    <row r="50" spans="1:6" ht="13" x14ac:dyDescent="0.15">
      <c r="A50" s="3">
        <v>41768</v>
      </c>
      <c r="B50">
        <v>1875.27</v>
      </c>
      <c r="C50" s="1">
        <v>1878.57</v>
      </c>
      <c r="D50" s="1">
        <v>1867.02</v>
      </c>
      <c r="E50" s="1">
        <v>1878.48</v>
      </c>
      <c r="F50" s="1">
        <v>473517760</v>
      </c>
    </row>
    <row r="51" spans="1:6" ht="13" x14ac:dyDescent="0.15">
      <c r="A51" s="3">
        <v>41771</v>
      </c>
      <c r="B51">
        <v>1880.03</v>
      </c>
      <c r="C51" s="1">
        <v>1897.13</v>
      </c>
      <c r="D51" s="1">
        <v>1880.03</v>
      </c>
      <c r="E51" s="1">
        <v>1896.65</v>
      </c>
      <c r="F51" s="1">
        <v>448873920</v>
      </c>
    </row>
    <row r="52" spans="1:6" ht="13" x14ac:dyDescent="0.15">
      <c r="A52" s="3">
        <v>41772</v>
      </c>
      <c r="B52">
        <v>1896.75</v>
      </c>
      <c r="C52" s="1">
        <v>1902.17</v>
      </c>
      <c r="D52" s="1">
        <v>1896.06</v>
      </c>
      <c r="E52" s="1">
        <v>1897.45</v>
      </c>
      <c r="F52" s="1">
        <v>418316096</v>
      </c>
    </row>
    <row r="53" spans="1:6" ht="13" x14ac:dyDescent="0.15">
      <c r="A53" s="3">
        <v>41773</v>
      </c>
      <c r="B53">
        <v>1897.13</v>
      </c>
      <c r="C53" s="1">
        <v>1897.13</v>
      </c>
      <c r="D53" s="1">
        <v>1885.77</v>
      </c>
      <c r="E53" s="1">
        <v>1888.53</v>
      </c>
      <c r="F53" s="1">
        <v>421797344</v>
      </c>
    </row>
    <row r="54" spans="1:6" ht="13" x14ac:dyDescent="0.15">
      <c r="A54" s="3">
        <v>41774</v>
      </c>
      <c r="B54">
        <v>1888.16</v>
      </c>
      <c r="C54" s="1">
        <v>1888.16</v>
      </c>
      <c r="D54" s="1">
        <v>1862.36</v>
      </c>
      <c r="E54" s="1">
        <v>1870.85</v>
      </c>
      <c r="F54" s="1">
        <v>547150144</v>
      </c>
    </row>
    <row r="55" spans="1:6" ht="13" x14ac:dyDescent="0.15">
      <c r="A55" s="3">
        <v>41775</v>
      </c>
      <c r="B55">
        <v>1871.19</v>
      </c>
      <c r="C55" s="1">
        <v>1878.28</v>
      </c>
      <c r="D55" s="1">
        <v>1864.82</v>
      </c>
      <c r="E55" s="1">
        <v>1877.86</v>
      </c>
      <c r="F55" s="1">
        <v>624141440</v>
      </c>
    </row>
    <row r="56" spans="1:6" ht="13" x14ac:dyDescent="0.15">
      <c r="A56" s="3">
        <v>41778</v>
      </c>
      <c r="B56">
        <v>1876.66</v>
      </c>
      <c r="C56" s="1">
        <v>1886</v>
      </c>
      <c r="D56" s="1">
        <v>1872.42</v>
      </c>
      <c r="E56" s="1">
        <v>1885.08</v>
      </c>
      <c r="F56" s="1">
        <v>433358368</v>
      </c>
    </row>
    <row r="57" spans="1:6" ht="13" x14ac:dyDescent="0.15">
      <c r="A57" s="3">
        <v>41779</v>
      </c>
      <c r="B57">
        <v>1884.88</v>
      </c>
      <c r="C57" s="1">
        <v>1884.88</v>
      </c>
      <c r="D57" s="1">
        <v>1868.14</v>
      </c>
      <c r="E57" s="1">
        <v>1872.83</v>
      </c>
      <c r="F57" s="1">
        <v>434958592</v>
      </c>
    </row>
    <row r="58" spans="1:6" ht="13" x14ac:dyDescent="0.15">
      <c r="A58" s="3">
        <v>41780</v>
      </c>
      <c r="B58">
        <v>1873.34</v>
      </c>
      <c r="C58" s="1">
        <v>1888.8</v>
      </c>
      <c r="D58" s="1">
        <v>1873.34</v>
      </c>
      <c r="E58" s="1">
        <v>1888.03</v>
      </c>
      <c r="F58" s="1">
        <v>410737824</v>
      </c>
    </row>
    <row r="59" spans="1:6" ht="13" x14ac:dyDescent="0.15">
      <c r="A59" s="3">
        <v>41781</v>
      </c>
      <c r="B59">
        <v>1888.19</v>
      </c>
      <c r="C59" s="1">
        <v>1896.33</v>
      </c>
      <c r="D59" s="1">
        <v>1885.39</v>
      </c>
      <c r="E59" s="1">
        <v>1892.49</v>
      </c>
      <c r="F59" s="1">
        <v>385627136</v>
      </c>
    </row>
    <row r="60" spans="1:6" ht="13" x14ac:dyDescent="0.15">
      <c r="A60" s="3">
        <v>41782</v>
      </c>
      <c r="B60">
        <v>1893.32</v>
      </c>
      <c r="C60" s="1">
        <v>1901.26</v>
      </c>
      <c r="D60" s="1">
        <v>1893.32</v>
      </c>
      <c r="E60" s="1">
        <v>1900.53</v>
      </c>
      <c r="F60" s="1">
        <v>373453440</v>
      </c>
    </row>
    <row r="61" spans="1:6" ht="13" x14ac:dyDescent="0.15">
      <c r="A61" s="3">
        <v>41786</v>
      </c>
      <c r="B61">
        <v>1902.01</v>
      </c>
      <c r="C61" s="1">
        <v>1912.28</v>
      </c>
      <c r="D61" s="1">
        <v>1902.01</v>
      </c>
      <c r="E61" s="1">
        <v>1911.91</v>
      </c>
      <c r="F61" s="1">
        <v>469651584</v>
      </c>
    </row>
    <row r="62" spans="1:6" ht="13" x14ac:dyDescent="0.15">
      <c r="A62" s="3">
        <v>41787</v>
      </c>
      <c r="B62">
        <v>1911.77</v>
      </c>
      <c r="C62" s="1">
        <v>1914.46</v>
      </c>
      <c r="D62" s="1">
        <v>1907.3</v>
      </c>
      <c r="E62" s="1">
        <v>1909.78</v>
      </c>
      <c r="F62" s="1">
        <v>408913632</v>
      </c>
    </row>
    <row r="63" spans="1:6" ht="13" x14ac:dyDescent="0.15">
      <c r="A63" s="3">
        <v>41788</v>
      </c>
      <c r="B63">
        <v>1910.6</v>
      </c>
      <c r="C63" s="1">
        <v>1920.03</v>
      </c>
      <c r="D63" s="1">
        <v>1909.82</v>
      </c>
      <c r="E63" s="1">
        <v>1920.03</v>
      </c>
      <c r="F63" s="1">
        <v>371582016</v>
      </c>
    </row>
    <row r="64" spans="1:6" ht="13" x14ac:dyDescent="0.15">
      <c r="A64" s="3">
        <v>41789</v>
      </c>
      <c r="B64">
        <v>1920.33</v>
      </c>
      <c r="C64" s="1">
        <v>1924.03</v>
      </c>
      <c r="D64" s="1">
        <v>1916.64</v>
      </c>
      <c r="E64" s="1">
        <v>1923.57</v>
      </c>
      <c r="F64" s="1">
        <v>600479040</v>
      </c>
    </row>
    <row r="65" spans="1:6" ht="13" x14ac:dyDescent="0.15">
      <c r="A65" s="3">
        <v>41792</v>
      </c>
      <c r="B65">
        <v>1923.87</v>
      </c>
      <c r="C65" s="1">
        <v>1925.88</v>
      </c>
      <c r="D65" s="1">
        <v>1915.98</v>
      </c>
      <c r="E65" s="1">
        <v>1924.97</v>
      </c>
      <c r="F65" s="1">
        <v>376839328</v>
      </c>
    </row>
    <row r="66" spans="1:6" ht="13" x14ac:dyDescent="0.15">
      <c r="A66" s="3">
        <v>41793</v>
      </c>
      <c r="B66">
        <v>1923.07</v>
      </c>
      <c r="C66" s="1">
        <v>1925.07</v>
      </c>
      <c r="D66" s="1">
        <v>1918.79</v>
      </c>
      <c r="E66" s="1">
        <v>1924.24</v>
      </c>
      <c r="F66" s="1">
        <v>414828224</v>
      </c>
    </row>
    <row r="67" spans="1:6" ht="13" x14ac:dyDescent="0.15">
      <c r="A67" s="3">
        <v>41794</v>
      </c>
      <c r="B67">
        <v>1923.06</v>
      </c>
      <c r="C67" s="1">
        <v>1928.63</v>
      </c>
      <c r="D67" s="1">
        <v>1918.6</v>
      </c>
      <c r="E67" s="1">
        <v>1927.88</v>
      </c>
      <c r="F67" s="1">
        <v>403720832</v>
      </c>
    </row>
    <row r="68" spans="1:6" ht="13" x14ac:dyDescent="0.15">
      <c r="A68" s="3">
        <v>41795</v>
      </c>
      <c r="B68">
        <v>1928.52</v>
      </c>
      <c r="C68" s="1">
        <v>1941.74</v>
      </c>
      <c r="D68" s="1">
        <v>1922.93</v>
      </c>
      <c r="E68" s="1">
        <v>1940.46</v>
      </c>
      <c r="F68" s="1">
        <v>431114816</v>
      </c>
    </row>
    <row r="69" spans="1:6" ht="13" x14ac:dyDescent="0.15">
      <c r="A69" s="3">
        <v>41796</v>
      </c>
      <c r="B69">
        <v>1942.41</v>
      </c>
      <c r="C69" s="1">
        <v>1949.44</v>
      </c>
      <c r="D69" s="1">
        <v>1942.41</v>
      </c>
      <c r="E69" s="1">
        <v>1949.44</v>
      </c>
      <c r="F69" s="1">
        <v>445146016</v>
      </c>
    </row>
    <row r="70" spans="1:6" ht="13" x14ac:dyDescent="0.15">
      <c r="A70" s="3">
        <v>41799</v>
      </c>
      <c r="B70">
        <v>1948.97</v>
      </c>
      <c r="C70" s="1">
        <v>1955.55</v>
      </c>
      <c r="D70" s="1">
        <v>1947.16</v>
      </c>
      <c r="E70" s="1">
        <v>1951.27</v>
      </c>
      <c r="F70" s="1">
        <v>422394272</v>
      </c>
    </row>
    <row r="71" spans="1:6" ht="13" x14ac:dyDescent="0.15">
      <c r="A71" s="3">
        <v>41800</v>
      </c>
      <c r="B71">
        <v>1950.34</v>
      </c>
      <c r="C71" s="1">
        <v>1950.86</v>
      </c>
      <c r="D71" s="1">
        <v>1944.64</v>
      </c>
      <c r="E71" s="1">
        <v>1950.79</v>
      </c>
      <c r="F71" s="1">
        <v>405657120</v>
      </c>
    </row>
    <row r="72" spans="1:6" ht="13" x14ac:dyDescent="0.15">
      <c r="A72" s="3">
        <v>41801</v>
      </c>
      <c r="B72">
        <v>1949.37</v>
      </c>
      <c r="C72" s="1">
        <v>1949.37</v>
      </c>
      <c r="D72" s="1">
        <v>1940.08</v>
      </c>
      <c r="E72" s="1">
        <v>1943.89</v>
      </c>
      <c r="F72" s="1">
        <v>387269952</v>
      </c>
    </row>
    <row r="73" spans="1:6" ht="13" x14ac:dyDescent="0.15">
      <c r="A73" s="3">
        <v>41802</v>
      </c>
      <c r="B73">
        <v>1943.35</v>
      </c>
      <c r="C73" s="1">
        <v>1943.35</v>
      </c>
      <c r="D73" s="1">
        <v>1925.78</v>
      </c>
      <c r="E73" s="1">
        <v>1930.11</v>
      </c>
      <c r="F73" s="1">
        <v>459652960</v>
      </c>
    </row>
    <row r="74" spans="1:6" ht="13" x14ac:dyDescent="0.15">
      <c r="A74" s="3">
        <v>41803</v>
      </c>
      <c r="B74">
        <v>1930.8</v>
      </c>
      <c r="C74" s="1">
        <v>1937.3</v>
      </c>
      <c r="D74" s="1">
        <v>1927.69</v>
      </c>
      <c r="E74" s="1">
        <v>1936.16</v>
      </c>
      <c r="F74" s="1">
        <v>445365184</v>
      </c>
    </row>
    <row r="75" spans="1:6" ht="13" x14ac:dyDescent="0.15">
      <c r="A75" s="3">
        <v>41806</v>
      </c>
      <c r="B75">
        <v>1934.84</v>
      </c>
      <c r="C75" s="1">
        <v>1941.15</v>
      </c>
      <c r="D75" s="1">
        <v>1930.91</v>
      </c>
      <c r="E75" s="1">
        <v>1937.78</v>
      </c>
      <c r="F75" s="1">
        <v>437282624</v>
      </c>
    </row>
    <row r="76" spans="1:6" ht="13" x14ac:dyDescent="0.15">
      <c r="A76" s="3">
        <v>41807</v>
      </c>
      <c r="B76">
        <v>1937.15</v>
      </c>
      <c r="C76" s="1">
        <v>1943.69</v>
      </c>
      <c r="D76" s="1">
        <v>1933.55</v>
      </c>
      <c r="E76" s="1">
        <v>1941.99</v>
      </c>
      <c r="F76" s="1">
        <v>405728416</v>
      </c>
    </row>
    <row r="77" spans="1:6" ht="13" x14ac:dyDescent="0.15">
      <c r="A77" s="3">
        <v>41808</v>
      </c>
      <c r="B77">
        <v>1942.73</v>
      </c>
      <c r="C77" s="1">
        <v>1957.74</v>
      </c>
      <c r="D77" s="1">
        <v>1939.29</v>
      </c>
      <c r="E77" s="1">
        <v>1956.98</v>
      </c>
      <c r="F77" s="1">
        <v>436444992</v>
      </c>
    </row>
    <row r="78" spans="1:6" ht="13" x14ac:dyDescent="0.15">
      <c r="A78" s="3">
        <v>41809</v>
      </c>
      <c r="B78">
        <v>1957.5</v>
      </c>
      <c r="C78" s="1">
        <v>1959.87</v>
      </c>
      <c r="D78" s="1">
        <v>1952.26</v>
      </c>
      <c r="E78" s="1">
        <v>1959.48</v>
      </c>
      <c r="F78" s="1">
        <v>475988512</v>
      </c>
    </row>
    <row r="79" spans="1:6" ht="13" x14ac:dyDescent="0.15">
      <c r="A79" s="3">
        <v>41810</v>
      </c>
      <c r="B79">
        <v>1960.45</v>
      </c>
      <c r="C79" s="1">
        <v>1963.91</v>
      </c>
      <c r="D79" s="1">
        <v>1959.17</v>
      </c>
      <c r="E79" s="1">
        <v>1962.87</v>
      </c>
      <c r="F79" s="1">
        <v>135843744</v>
      </c>
    </row>
    <row r="80" spans="1:6" ht="13" x14ac:dyDescent="0.15">
      <c r="A80" s="3">
        <v>41813</v>
      </c>
      <c r="B80">
        <v>1962.92</v>
      </c>
      <c r="C80" s="1">
        <v>1963.74</v>
      </c>
      <c r="D80" s="1">
        <v>1958.89</v>
      </c>
      <c r="E80" s="1">
        <v>1962.61</v>
      </c>
      <c r="F80" s="1">
        <v>411647168</v>
      </c>
    </row>
    <row r="81" spans="1:6" ht="13" x14ac:dyDescent="0.15">
      <c r="A81" s="3">
        <v>41814</v>
      </c>
      <c r="B81">
        <v>1961.97</v>
      </c>
      <c r="C81" s="1">
        <v>1968.17</v>
      </c>
      <c r="D81" s="1">
        <v>1948.34</v>
      </c>
      <c r="E81" s="1">
        <v>1949.98</v>
      </c>
      <c r="F81" s="1">
        <v>470764128</v>
      </c>
    </row>
    <row r="82" spans="1:6" ht="13" x14ac:dyDescent="0.15">
      <c r="A82" s="3">
        <v>41815</v>
      </c>
      <c r="B82">
        <v>1949.27</v>
      </c>
      <c r="C82" s="1">
        <v>1960.83</v>
      </c>
      <c r="D82" s="1">
        <v>1947.49</v>
      </c>
      <c r="E82" s="1">
        <v>1959.53</v>
      </c>
      <c r="F82" s="1">
        <v>455221600</v>
      </c>
    </row>
    <row r="83" spans="1:6" ht="13" x14ac:dyDescent="0.15">
      <c r="A83" s="3">
        <v>41816</v>
      </c>
      <c r="B83">
        <v>1959.89</v>
      </c>
      <c r="C83" s="1">
        <v>1959.89</v>
      </c>
      <c r="D83" s="1">
        <v>1944.69</v>
      </c>
      <c r="E83" s="1">
        <v>1957.22</v>
      </c>
      <c r="F83" s="1">
        <v>404513120</v>
      </c>
    </row>
    <row r="84" spans="1:6" ht="13" x14ac:dyDescent="0.15">
      <c r="A84" s="3">
        <v>41817</v>
      </c>
      <c r="B84">
        <v>1956.56</v>
      </c>
      <c r="C84" s="1">
        <v>1961.47</v>
      </c>
      <c r="D84" s="1">
        <v>1952.18</v>
      </c>
      <c r="E84" s="1">
        <v>1960.96</v>
      </c>
      <c r="F84" s="1">
        <v>736911552</v>
      </c>
    </row>
    <row r="85" spans="1:6" ht="13" x14ac:dyDescent="0.15">
      <c r="A85" s="3">
        <v>41820</v>
      </c>
      <c r="B85">
        <v>1960.79</v>
      </c>
      <c r="C85" s="1">
        <v>1964.24</v>
      </c>
      <c r="D85" s="1">
        <v>1958.22</v>
      </c>
      <c r="E85" s="1">
        <v>1960.23</v>
      </c>
      <c r="F85" s="1">
        <v>527424320</v>
      </c>
    </row>
    <row r="86" spans="1:6" ht="13" x14ac:dyDescent="0.15">
      <c r="A86" s="3">
        <v>41821</v>
      </c>
      <c r="B86">
        <v>1962.29</v>
      </c>
      <c r="C86" s="1">
        <v>1978.58</v>
      </c>
      <c r="D86" s="1">
        <v>1962.29</v>
      </c>
      <c r="E86" s="1">
        <v>1973.32</v>
      </c>
      <c r="F86" s="1">
        <v>438726336</v>
      </c>
    </row>
    <row r="87" spans="1:6" ht="13" x14ac:dyDescent="0.15">
      <c r="A87" s="3">
        <v>41822</v>
      </c>
      <c r="B87">
        <v>1973.06</v>
      </c>
      <c r="C87" s="1">
        <v>1976.67</v>
      </c>
      <c r="D87" s="1">
        <v>1972.58</v>
      </c>
      <c r="E87" s="1">
        <v>1974.62</v>
      </c>
      <c r="F87" s="1">
        <v>386013920</v>
      </c>
    </row>
    <row r="88" spans="1:6" ht="13" x14ac:dyDescent="0.15">
      <c r="A88" s="3">
        <v>41823</v>
      </c>
      <c r="B88">
        <v>1975.88</v>
      </c>
      <c r="C88" s="1">
        <v>1985.59</v>
      </c>
      <c r="D88" s="1">
        <v>1975.88</v>
      </c>
      <c r="E88" s="1">
        <v>1985.44</v>
      </c>
      <c r="F88" s="1">
        <v>366541184</v>
      </c>
    </row>
    <row r="89" spans="1:6" ht="13" x14ac:dyDescent="0.15">
      <c r="A89" s="3">
        <v>41827</v>
      </c>
      <c r="B89">
        <v>1984.22</v>
      </c>
      <c r="C89" s="1">
        <v>1984.22</v>
      </c>
      <c r="D89" s="1">
        <v>1974.88</v>
      </c>
      <c r="E89" s="1">
        <v>1977.65</v>
      </c>
      <c r="F89" s="1">
        <v>399477312</v>
      </c>
    </row>
    <row r="90" spans="1:6" ht="13" x14ac:dyDescent="0.15">
      <c r="A90" s="3">
        <v>41828</v>
      </c>
      <c r="B90">
        <v>1976.39</v>
      </c>
      <c r="C90" s="1">
        <v>1976.39</v>
      </c>
      <c r="D90" s="1">
        <v>1959.46</v>
      </c>
      <c r="E90" s="1">
        <v>1963.71</v>
      </c>
      <c r="F90" s="1">
        <v>482711136</v>
      </c>
    </row>
    <row r="91" spans="1:6" ht="13" x14ac:dyDescent="0.15">
      <c r="A91" s="3">
        <v>41829</v>
      </c>
      <c r="B91">
        <v>1965.1</v>
      </c>
      <c r="C91" s="1">
        <v>1974.15</v>
      </c>
      <c r="D91" s="1">
        <v>1965.1</v>
      </c>
      <c r="E91" s="1">
        <v>1972.83</v>
      </c>
      <c r="F91" s="1">
        <v>414846592</v>
      </c>
    </row>
    <row r="92" spans="1:6" ht="13" x14ac:dyDescent="0.15">
      <c r="A92" s="3">
        <v>41830</v>
      </c>
      <c r="B92">
        <v>1966.67</v>
      </c>
      <c r="C92" s="1">
        <v>1969.84</v>
      </c>
      <c r="D92" s="1">
        <v>1952.86</v>
      </c>
      <c r="E92" s="1">
        <v>1964.68</v>
      </c>
      <c r="F92" s="1">
        <v>417454240</v>
      </c>
    </row>
    <row r="93" spans="1:6" ht="13" x14ac:dyDescent="0.15">
      <c r="A93" s="3">
        <v>41831</v>
      </c>
      <c r="B93">
        <v>1965.76</v>
      </c>
      <c r="C93" s="1">
        <v>1968.67</v>
      </c>
      <c r="D93" s="1">
        <v>1959.63</v>
      </c>
      <c r="E93" s="1">
        <v>1967.57</v>
      </c>
      <c r="F93" s="1">
        <v>375539200</v>
      </c>
    </row>
    <row r="94" spans="1:6" ht="13" x14ac:dyDescent="0.15">
      <c r="A94" s="3">
        <v>41834</v>
      </c>
      <c r="B94">
        <v>1969.86</v>
      </c>
      <c r="C94" s="1">
        <v>1979.85</v>
      </c>
      <c r="D94" s="1">
        <v>1969.86</v>
      </c>
      <c r="E94" s="1">
        <v>1977.1</v>
      </c>
      <c r="F94" s="1">
        <v>398058944</v>
      </c>
    </row>
    <row r="95" spans="1:6" ht="13" x14ac:dyDescent="0.15">
      <c r="A95" s="3">
        <v>41835</v>
      </c>
      <c r="B95">
        <v>1977.36</v>
      </c>
      <c r="C95" s="1">
        <v>1982.52</v>
      </c>
      <c r="D95" s="1">
        <v>1965.34</v>
      </c>
      <c r="E95" s="1">
        <v>1973.28</v>
      </c>
      <c r="F95" s="1">
        <v>543763072</v>
      </c>
    </row>
    <row r="96" spans="1:6" ht="13" x14ac:dyDescent="0.15">
      <c r="A96" s="3">
        <v>41836</v>
      </c>
      <c r="B96">
        <v>1976.35</v>
      </c>
      <c r="C96" s="1">
        <v>1983.94</v>
      </c>
      <c r="D96" s="1">
        <v>1975.67</v>
      </c>
      <c r="E96" s="1">
        <v>1981.57</v>
      </c>
      <c r="F96" s="1">
        <v>517286592</v>
      </c>
    </row>
    <row r="97" spans="1:6" ht="13" x14ac:dyDescent="0.15">
      <c r="A97" s="3">
        <v>41837</v>
      </c>
      <c r="B97">
        <v>1979.75</v>
      </c>
      <c r="C97" s="1">
        <v>1981.8</v>
      </c>
      <c r="D97" s="1">
        <v>1955.59</v>
      </c>
      <c r="E97" s="1">
        <v>1958.12</v>
      </c>
      <c r="F97" s="1">
        <v>541465984</v>
      </c>
    </row>
    <row r="98" spans="1:6" ht="13" x14ac:dyDescent="0.15">
      <c r="A98" s="3">
        <v>41838</v>
      </c>
      <c r="B98">
        <v>1961.54</v>
      </c>
      <c r="C98" s="1">
        <v>1979.91</v>
      </c>
      <c r="D98" s="1">
        <v>1960.82</v>
      </c>
      <c r="E98" s="1">
        <v>1978.22</v>
      </c>
      <c r="F98" s="1">
        <v>582922816</v>
      </c>
    </row>
    <row r="99" spans="1:6" ht="13" x14ac:dyDescent="0.15">
      <c r="A99" s="3">
        <v>41841</v>
      </c>
      <c r="B99">
        <v>1976.93</v>
      </c>
      <c r="C99" s="1">
        <v>1976.93</v>
      </c>
      <c r="D99" s="1">
        <v>1965.77</v>
      </c>
      <c r="E99" s="1">
        <v>1973.63</v>
      </c>
      <c r="F99" s="1">
        <v>397271328</v>
      </c>
    </row>
    <row r="100" spans="1:6" ht="13" x14ac:dyDescent="0.15">
      <c r="A100" s="3">
        <v>41842</v>
      </c>
      <c r="B100">
        <v>1975.65</v>
      </c>
      <c r="C100" s="1">
        <v>1986.24</v>
      </c>
      <c r="D100" s="1">
        <v>1975.65</v>
      </c>
      <c r="E100" s="1">
        <v>1983.53</v>
      </c>
      <c r="F100" s="1">
        <v>425403744</v>
      </c>
    </row>
    <row r="101" spans="1:6" ht="13" x14ac:dyDescent="0.15">
      <c r="A101" s="3">
        <v>41843</v>
      </c>
      <c r="B101">
        <v>1985.32</v>
      </c>
      <c r="C101" s="1">
        <v>1989.23</v>
      </c>
      <c r="D101" s="1">
        <v>1982.44</v>
      </c>
      <c r="E101" s="1">
        <v>1987.01</v>
      </c>
      <c r="F101" s="1">
        <v>466605984</v>
      </c>
    </row>
    <row r="102" spans="1:6" ht="13" x14ac:dyDescent="0.15">
      <c r="A102" s="3">
        <v>41844</v>
      </c>
      <c r="B102">
        <v>1988.07</v>
      </c>
      <c r="C102" s="1">
        <v>1991.39</v>
      </c>
      <c r="D102" s="1">
        <v>1985.79</v>
      </c>
      <c r="E102" s="1">
        <v>1987.98</v>
      </c>
      <c r="F102" s="1">
        <v>471341632</v>
      </c>
    </row>
    <row r="103" spans="1:6" ht="13" x14ac:dyDescent="0.15">
      <c r="A103" s="3">
        <v>41845</v>
      </c>
      <c r="B103">
        <v>1984.6</v>
      </c>
      <c r="C103" s="1">
        <v>1984.6</v>
      </c>
      <c r="D103" s="1">
        <v>1974.37</v>
      </c>
      <c r="E103" s="1">
        <v>1978.34</v>
      </c>
      <c r="F103" s="1">
        <v>414624480</v>
      </c>
    </row>
    <row r="104" spans="1:6" ht="13" x14ac:dyDescent="0.15">
      <c r="A104" s="3">
        <v>41848</v>
      </c>
      <c r="B104">
        <v>1978.25</v>
      </c>
      <c r="C104" s="1">
        <v>1981.52</v>
      </c>
      <c r="D104" s="1">
        <v>1967.31</v>
      </c>
      <c r="E104" s="1">
        <v>1978.91</v>
      </c>
      <c r="F104" s="1">
        <v>436383552</v>
      </c>
    </row>
    <row r="105" spans="1:6" ht="13" x14ac:dyDescent="0.15">
      <c r="A105" s="3">
        <v>41849</v>
      </c>
      <c r="B105">
        <v>1980.03</v>
      </c>
      <c r="C105" s="1">
        <v>1984.85</v>
      </c>
      <c r="D105" s="1">
        <v>1969.95</v>
      </c>
      <c r="E105" s="1">
        <v>1969.95</v>
      </c>
      <c r="F105" s="1">
        <v>492773696</v>
      </c>
    </row>
    <row r="106" spans="1:6" ht="13" x14ac:dyDescent="0.15">
      <c r="A106" s="3">
        <v>41850</v>
      </c>
      <c r="B106">
        <v>1973.21</v>
      </c>
      <c r="C106" s="1">
        <v>1978.9</v>
      </c>
      <c r="D106" s="1">
        <v>1962.42</v>
      </c>
      <c r="E106" s="1">
        <v>1970.07</v>
      </c>
      <c r="F106" s="1">
        <v>476732960</v>
      </c>
    </row>
    <row r="107" spans="1:6" ht="13" x14ac:dyDescent="0.15">
      <c r="A107" s="3">
        <v>41851</v>
      </c>
      <c r="B107">
        <v>1965.14</v>
      </c>
      <c r="C107" s="1">
        <v>1965.14</v>
      </c>
      <c r="D107" s="1">
        <v>1930.67</v>
      </c>
      <c r="E107" s="1">
        <v>1930.67</v>
      </c>
      <c r="F107" s="1">
        <v>623585088</v>
      </c>
    </row>
    <row r="108" spans="1:6" ht="13" x14ac:dyDescent="0.15">
      <c r="A108" s="3">
        <v>41852</v>
      </c>
      <c r="B108">
        <v>1929.8</v>
      </c>
      <c r="C108" s="1">
        <v>1937.35</v>
      </c>
      <c r="D108" s="1">
        <v>1916.37</v>
      </c>
      <c r="E108" s="1">
        <v>1925.15</v>
      </c>
      <c r="F108" s="1">
        <v>519196608</v>
      </c>
    </row>
    <row r="109" spans="1:6" ht="13" x14ac:dyDescent="0.15">
      <c r="A109" s="3">
        <v>41855</v>
      </c>
      <c r="B109">
        <v>1926.62</v>
      </c>
      <c r="C109" s="1">
        <v>1942.92</v>
      </c>
      <c r="D109" s="1">
        <v>1921.2</v>
      </c>
      <c r="E109" s="1">
        <v>1938.99</v>
      </c>
      <c r="F109" s="1">
        <v>468853792</v>
      </c>
    </row>
    <row r="110" spans="1:6" ht="13" x14ac:dyDescent="0.15">
      <c r="A110" s="3">
        <v>41856</v>
      </c>
      <c r="B110">
        <v>1936.34</v>
      </c>
      <c r="C110" s="1">
        <v>1936.34</v>
      </c>
      <c r="D110" s="1">
        <v>1913.77</v>
      </c>
      <c r="E110" s="1">
        <v>1920.21</v>
      </c>
      <c r="F110" s="1">
        <v>500420000</v>
      </c>
    </row>
    <row r="111" spans="1:6" ht="13" x14ac:dyDescent="0.15">
      <c r="A111" s="3">
        <v>41857</v>
      </c>
      <c r="B111">
        <v>1917.29</v>
      </c>
      <c r="C111" s="1">
        <v>1927.91</v>
      </c>
      <c r="D111" s="1">
        <v>1911.45</v>
      </c>
      <c r="E111" s="1">
        <v>1920.24</v>
      </c>
      <c r="F111" s="1">
        <v>488338656</v>
      </c>
    </row>
    <row r="112" spans="1:6" ht="13" x14ac:dyDescent="0.15">
      <c r="A112" s="3">
        <v>41858</v>
      </c>
      <c r="B112">
        <v>1923.03</v>
      </c>
      <c r="C112" s="1">
        <v>1928.89</v>
      </c>
      <c r="D112" s="1">
        <v>1904.78</v>
      </c>
      <c r="E112" s="1">
        <v>1909.57</v>
      </c>
      <c r="F112" s="1">
        <v>474034080</v>
      </c>
    </row>
    <row r="113" spans="1:6" ht="13" x14ac:dyDescent="0.15">
      <c r="A113" s="3">
        <v>41859</v>
      </c>
      <c r="B113">
        <v>1910.35</v>
      </c>
      <c r="C113" s="1">
        <v>1932.38</v>
      </c>
      <c r="D113" s="1">
        <v>1909.01</v>
      </c>
      <c r="E113" s="1">
        <v>1931.59</v>
      </c>
      <c r="F113" s="1">
        <v>456035264</v>
      </c>
    </row>
    <row r="114" spans="1:6" ht="13" x14ac:dyDescent="0.15">
      <c r="A114" s="3">
        <v>41862</v>
      </c>
      <c r="B114">
        <v>1933.43</v>
      </c>
      <c r="C114" s="1">
        <v>1944.9</v>
      </c>
      <c r="D114" s="1">
        <v>1933.43</v>
      </c>
      <c r="E114" s="1">
        <v>1936.92</v>
      </c>
      <c r="F114" s="1">
        <v>399487776</v>
      </c>
    </row>
    <row r="115" spans="1:6" ht="13" x14ac:dyDescent="0.15">
      <c r="A115" s="3">
        <v>41863</v>
      </c>
      <c r="B115">
        <v>1935.73</v>
      </c>
      <c r="C115" s="1">
        <v>1939.65</v>
      </c>
      <c r="D115" s="1">
        <v>1928.29</v>
      </c>
      <c r="E115" s="1">
        <v>1933.75</v>
      </c>
      <c r="F115" s="1">
        <v>352008416</v>
      </c>
    </row>
    <row r="116" spans="1:6" ht="13" x14ac:dyDescent="0.15">
      <c r="A116" s="3">
        <v>41864</v>
      </c>
      <c r="B116">
        <v>1935.6</v>
      </c>
      <c r="C116" s="1">
        <v>1948.41</v>
      </c>
      <c r="D116" s="1">
        <v>1935.6</v>
      </c>
      <c r="E116" s="1">
        <v>1946.72</v>
      </c>
      <c r="F116" s="1">
        <v>368222432</v>
      </c>
    </row>
    <row r="117" spans="1:6" ht="13" x14ac:dyDescent="0.15">
      <c r="A117" s="3">
        <v>41865</v>
      </c>
      <c r="B117">
        <v>1947.41</v>
      </c>
      <c r="C117" s="1">
        <v>1955.23</v>
      </c>
      <c r="D117" s="1">
        <v>1947.41</v>
      </c>
      <c r="E117" s="1">
        <v>1955.18</v>
      </c>
      <c r="F117" s="1">
        <v>322059744</v>
      </c>
    </row>
    <row r="118" spans="1:6" ht="13" x14ac:dyDescent="0.15">
      <c r="A118" s="3">
        <v>41866</v>
      </c>
      <c r="B118">
        <v>1958.87</v>
      </c>
      <c r="C118" s="1">
        <v>1964.04</v>
      </c>
      <c r="D118" s="1">
        <v>1941.5</v>
      </c>
      <c r="E118" s="1">
        <v>1955.06</v>
      </c>
      <c r="F118" s="1">
        <v>599516480</v>
      </c>
    </row>
    <row r="119" spans="1:6" ht="13" x14ac:dyDescent="0.15">
      <c r="A119" s="3">
        <v>41869</v>
      </c>
      <c r="B119">
        <v>1958.36</v>
      </c>
      <c r="C119" s="1">
        <v>1971.99</v>
      </c>
      <c r="D119" s="1">
        <v>1958.36</v>
      </c>
      <c r="E119" s="1">
        <v>1971.74</v>
      </c>
      <c r="F119" s="1">
        <v>422127616</v>
      </c>
    </row>
    <row r="120" spans="1:6" ht="13" x14ac:dyDescent="0.15">
      <c r="A120" s="3">
        <v>41870</v>
      </c>
      <c r="B120">
        <v>1972.73</v>
      </c>
      <c r="C120" s="1">
        <v>1982.57</v>
      </c>
      <c r="D120" s="1">
        <v>1972.73</v>
      </c>
      <c r="E120" s="1">
        <v>1981.6</v>
      </c>
      <c r="F120" s="1">
        <v>393011680</v>
      </c>
    </row>
    <row r="121" spans="1:6" ht="13" x14ac:dyDescent="0.15">
      <c r="A121" s="3">
        <v>41871</v>
      </c>
      <c r="B121">
        <v>1980.46</v>
      </c>
      <c r="C121" s="1">
        <v>1988.57</v>
      </c>
      <c r="D121" s="1">
        <v>1977.68</v>
      </c>
      <c r="E121" s="1">
        <v>1986.51</v>
      </c>
      <c r="F121" s="1">
        <v>378220000</v>
      </c>
    </row>
    <row r="122" spans="1:6" ht="13" x14ac:dyDescent="0.15">
      <c r="A122" s="3">
        <v>41872</v>
      </c>
      <c r="B122">
        <v>1986.82</v>
      </c>
      <c r="C122" s="1">
        <v>1994.76</v>
      </c>
      <c r="D122" s="1">
        <v>1986.82</v>
      </c>
      <c r="E122" s="1">
        <v>1992.37</v>
      </c>
      <c r="F122" s="1">
        <v>394988352</v>
      </c>
    </row>
    <row r="123" spans="1:6" ht="13" x14ac:dyDescent="0.15">
      <c r="A123" s="3">
        <v>41873</v>
      </c>
      <c r="B123">
        <v>1992.6</v>
      </c>
      <c r="C123" s="1">
        <v>1993.54</v>
      </c>
      <c r="D123" s="1">
        <v>1984.76</v>
      </c>
      <c r="E123" s="1">
        <v>1988.4</v>
      </c>
      <c r="F123" s="1">
        <v>377743072</v>
      </c>
    </row>
    <row r="124" spans="1:6" ht="13" x14ac:dyDescent="0.15">
      <c r="A124" s="3">
        <v>41876</v>
      </c>
      <c r="B124">
        <v>1991.74</v>
      </c>
      <c r="C124" s="1">
        <v>2001.95</v>
      </c>
      <c r="D124" s="1">
        <v>1991.74</v>
      </c>
      <c r="E124" s="1">
        <v>1997.92</v>
      </c>
      <c r="F124" s="1">
        <v>336815040</v>
      </c>
    </row>
    <row r="125" spans="1:6" ht="13" x14ac:dyDescent="0.15">
      <c r="A125" s="3">
        <v>41877</v>
      </c>
      <c r="B125">
        <v>1998.59</v>
      </c>
      <c r="C125" s="1">
        <v>2005.04</v>
      </c>
      <c r="D125" s="1">
        <v>1998.59</v>
      </c>
      <c r="E125" s="1">
        <v>2000.02</v>
      </c>
      <c r="F125" s="1">
        <v>314070336</v>
      </c>
    </row>
    <row r="126" spans="1:6" ht="13" x14ac:dyDescent="0.15">
      <c r="A126" s="3">
        <v>41878</v>
      </c>
      <c r="B126">
        <v>2000.54</v>
      </c>
      <c r="C126" s="1">
        <v>2002.14</v>
      </c>
      <c r="D126" s="1">
        <v>1996.2</v>
      </c>
      <c r="E126" s="1">
        <v>2000.12</v>
      </c>
      <c r="F126" s="1">
        <v>342139168</v>
      </c>
    </row>
    <row r="127" spans="1:6" ht="13" x14ac:dyDescent="0.15">
      <c r="A127" s="3">
        <v>41879</v>
      </c>
      <c r="B127">
        <v>1997.42</v>
      </c>
      <c r="C127" s="1">
        <v>1998.55</v>
      </c>
      <c r="D127" s="1">
        <v>1990.52</v>
      </c>
      <c r="E127" s="1">
        <v>1996.74</v>
      </c>
      <c r="F127" s="1">
        <v>315864576</v>
      </c>
    </row>
    <row r="128" spans="1:6" ht="13" x14ac:dyDescent="0.15">
      <c r="A128" s="3">
        <v>41880</v>
      </c>
      <c r="B128">
        <v>1998.45</v>
      </c>
      <c r="C128" s="1">
        <v>2003.38</v>
      </c>
      <c r="D128" s="1">
        <v>1994.65</v>
      </c>
      <c r="E128" s="1">
        <v>2003.37</v>
      </c>
      <c r="F128" s="1">
        <v>425006592</v>
      </c>
    </row>
    <row r="129" spans="1:6" ht="13" x14ac:dyDescent="0.15">
      <c r="A129" s="3">
        <v>41884</v>
      </c>
      <c r="B129">
        <v>2004.07</v>
      </c>
      <c r="C129" s="1">
        <v>2006.12</v>
      </c>
      <c r="D129" s="1">
        <v>1994.85</v>
      </c>
      <c r="E129" s="1">
        <v>2002.28</v>
      </c>
      <c r="F129" s="1">
        <v>399408928</v>
      </c>
    </row>
    <row r="130" spans="1:6" ht="13" x14ac:dyDescent="0.15">
      <c r="A130" s="3">
        <v>41885</v>
      </c>
      <c r="B130">
        <v>2003.57</v>
      </c>
      <c r="C130" s="1">
        <v>2009.28</v>
      </c>
      <c r="D130" s="1">
        <v>1998.14</v>
      </c>
      <c r="E130" s="1">
        <v>2000.72</v>
      </c>
      <c r="F130" s="1">
        <v>396727104</v>
      </c>
    </row>
    <row r="131" spans="1:6" ht="13" x14ac:dyDescent="0.15">
      <c r="A131" s="3">
        <v>41886</v>
      </c>
      <c r="B131">
        <v>2001.67</v>
      </c>
      <c r="C131" s="1">
        <v>2011.17</v>
      </c>
      <c r="D131" s="1">
        <v>1992.54</v>
      </c>
      <c r="E131" s="1">
        <v>1997.65</v>
      </c>
      <c r="F131" s="1">
        <v>426739232</v>
      </c>
    </row>
    <row r="132" spans="1:6" ht="13" x14ac:dyDescent="0.15">
      <c r="A132" s="3">
        <v>41887</v>
      </c>
      <c r="B132">
        <v>1998</v>
      </c>
      <c r="C132" s="1">
        <v>2007.71</v>
      </c>
      <c r="D132" s="1">
        <v>1990.1</v>
      </c>
      <c r="E132" s="1">
        <v>2007.71</v>
      </c>
      <c r="F132" s="1">
        <v>450544256</v>
      </c>
    </row>
    <row r="133" spans="1:6" ht="13" x14ac:dyDescent="0.15">
      <c r="A133" s="3">
        <v>41890</v>
      </c>
      <c r="B133">
        <v>2007.17</v>
      </c>
      <c r="C133" s="1">
        <v>2007.17</v>
      </c>
      <c r="D133" s="1">
        <v>1995.6</v>
      </c>
      <c r="E133" s="1">
        <v>2001.54</v>
      </c>
      <c r="F133" s="1">
        <v>411948928</v>
      </c>
    </row>
    <row r="134" spans="1:6" ht="13" x14ac:dyDescent="0.15">
      <c r="A134" s="3">
        <v>41891</v>
      </c>
      <c r="B134">
        <v>2000.73</v>
      </c>
      <c r="C134" s="1">
        <v>2001.01</v>
      </c>
      <c r="D134" s="1">
        <v>1984.61</v>
      </c>
      <c r="E134" s="1">
        <v>1988.44</v>
      </c>
      <c r="F134" s="1">
        <v>450948928</v>
      </c>
    </row>
    <row r="135" spans="1:6" ht="13" x14ac:dyDescent="0.15">
      <c r="A135" s="3">
        <v>41892</v>
      </c>
      <c r="B135">
        <v>1988.41</v>
      </c>
      <c r="C135" s="1">
        <v>1996.66</v>
      </c>
      <c r="D135" s="1">
        <v>1982.99</v>
      </c>
      <c r="E135" s="1">
        <v>1995.69</v>
      </c>
      <c r="F135" s="1">
        <v>427113792</v>
      </c>
    </row>
    <row r="136" spans="1:6" ht="13" x14ac:dyDescent="0.15">
      <c r="A136" s="3">
        <v>41893</v>
      </c>
      <c r="B136">
        <v>1992.85</v>
      </c>
      <c r="C136" s="1">
        <v>1997.65</v>
      </c>
      <c r="D136" s="1">
        <v>1985.93</v>
      </c>
      <c r="E136" s="1">
        <v>1997.45</v>
      </c>
      <c r="F136" s="1">
        <v>399767616</v>
      </c>
    </row>
    <row r="137" spans="1:6" ht="13" x14ac:dyDescent="0.15">
      <c r="A137" s="3">
        <v>41894</v>
      </c>
      <c r="B137">
        <v>1996.74</v>
      </c>
      <c r="C137" s="1">
        <v>1996.74</v>
      </c>
      <c r="D137" s="1">
        <v>1980.26</v>
      </c>
      <c r="E137" s="1">
        <v>1985.54</v>
      </c>
      <c r="F137" s="1">
        <v>499805376</v>
      </c>
    </row>
    <row r="138" spans="1:6" ht="13" x14ac:dyDescent="0.15">
      <c r="A138" s="3">
        <v>41897</v>
      </c>
      <c r="B138">
        <v>1986.04</v>
      </c>
      <c r="C138" s="1">
        <v>1987.18</v>
      </c>
      <c r="D138" s="1">
        <v>1978.48</v>
      </c>
      <c r="E138" s="1">
        <v>1984.13</v>
      </c>
      <c r="F138" s="1">
        <v>433781856</v>
      </c>
    </row>
    <row r="139" spans="1:6" ht="13" x14ac:dyDescent="0.15">
      <c r="A139" s="3">
        <v>41898</v>
      </c>
      <c r="B139">
        <v>1981.93</v>
      </c>
      <c r="C139" s="1">
        <v>2002.28</v>
      </c>
      <c r="D139" s="1">
        <v>1979.06</v>
      </c>
      <c r="E139" s="1">
        <v>1998.98</v>
      </c>
      <c r="F139" s="1">
        <v>441700512</v>
      </c>
    </row>
    <row r="140" spans="1:6" ht="13" x14ac:dyDescent="0.15">
      <c r="A140" s="3">
        <v>41899</v>
      </c>
      <c r="B140">
        <v>1999.3</v>
      </c>
      <c r="C140" s="1">
        <v>2010.74</v>
      </c>
      <c r="D140" s="1">
        <v>1993.29</v>
      </c>
      <c r="E140" s="1">
        <v>2001.57</v>
      </c>
      <c r="F140" s="1">
        <v>478405792</v>
      </c>
    </row>
    <row r="141" spans="1:6" ht="13" x14ac:dyDescent="0.15">
      <c r="A141" s="3">
        <v>41900</v>
      </c>
      <c r="B141">
        <v>2003.07</v>
      </c>
      <c r="C141" s="1">
        <v>2012.34</v>
      </c>
      <c r="D141" s="1">
        <v>2003.07</v>
      </c>
      <c r="E141" s="1">
        <v>2011.36</v>
      </c>
      <c r="F141" s="1">
        <v>475835744</v>
      </c>
    </row>
    <row r="142" spans="1:6" ht="13" x14ac:dyDescent="0.15">
      <c r="A142" s="3">
        <v>41901</v>
      </c>
      <c r="B142">
        <v>2012.74</v>
      </c>
      <c r="C142" s="1">
        <v>2019.26</v>
      </c>
      <c r="D142" s="1">
        <v>2006.59</v>
      </c>
      <c r="E142" s="1">
        <v>2010.4</v>
      </c>
      <c r="F142" s="1">
        <v>325794080</v>
      </c>
    </row>
    <row r="143" spans="1:6" ht="13" x14ac:dyDescent="0.15">
      <c r="A143" s="3">
        <v>41904</v>
      </c>
      <c r="B143">
        <v>2009.08</v>
      </c>
      <c r="C143" s="1">
        <v>2009.08</v>
      </c>
      <c r="D143" s="1">
        <v>1991.01</v>
      </c>
      <c r="E143" s="1">
        <v>1994.29</v>
      </c>
      <c r="F143" s="1">
        <v>474788992</v>
      </c>
    </row>
    <row r="144" spans="1:6" ht="13" x14ac:dyDescent="0.15">
      <c r="A144" s="3">
        <v>41905</v>
      </c>
      <c r="B144">
        <v>1992.78</v>
      </c>
      <c r="C144" s="1">
        <v>1995.41</v>
      </c>
      <c r="D144" s="1">
        <v>1982.77</v>
      </c>
      <c r="E144" s="1">
        <v>1982.77</v>
      </c>
      <c r="F144" s="1">
        <v>483571104</v>
      </c>
    </row>
    <row r="145" spans="1:6" ht="13" x14ac:dyDescent="0.15">
      <c r="A145" s="3">
        <v>41906</v>
      </c>
      <c r="B145">
        <v>1983.34</v>
      </c>
      <c r="C145" s="1">
        <v>1999.79</v>
      </c>
      <c r="D145" s="1">
        <v>1978.63</v>
      </c>
      <c r="E145" s="1">
        <v>1998.3</v>
      </c>
      <c r="F145" s="1">
        <v>485944832</v>
      </c>
    </row>
    <row r="146" spans="1:6" ht="13" x14ac:dyDescent="0.15">
      <c r="A146" s="3">
        <v>41907</v>
      </c>
      <c r="B146">
        <v>1997.32</v>
      </c>
      <c r="C146" s="1">
        <v>1997.32</v>
      </c>
      <c r="D146" s="1">
        <v>1965.99</v>
      </c>
      <c r="E146" s="1">
        <v>1965.99</v>
      </c>
      <c r="F146" s="1">
        <v>525835552</v>
      </c>
    </row>
    <row r="147" spans="1:6" ht="13" x14ac:dyDescent="0.15">
      <c r="A147" s="3">
        <v>41908</v>
      </c>
      <c r="B147">
        <v>1966.22</v>
      </c>
      <c r="C147" s="1">
        <v>1986.37</v>
      </c>
      <c r="D147" s="1">
        <v>1966.22</v>
      </c>
      <c r="E147" s="1">
        <v>1982.85</v>
      </c>
      <c r="F147" s="1">
        <v>436233504</v>
      </c>
    </row>
    <row r="148" spans="1:6" ht="13" x14ac:dyDescent="0.15">
      <c r="A148" s="3">
        <v>41911</v>
      </c>
      <c r="B148">
        <v>1978.96</v>
      </c>
      <c r="C148" s="1">
        <v>1981.28</v>
      </c>
      <c r="D148" s="1">
        <v>1964.04</v>
      </c>
      <c r="E148" s="1">
        <v>1977.8</v>
      </c>
      <c r="F148" s="1">
        <v>421735136</v>
      </c>
    </row>
    <row r="149" spans="1:6" ht="13" x14ac:dyDescent="0.15">
      <c r="A149" s="3">
        <v>41912</v>
      </c>
      <c r="B149">
        <v>1978.21</v>
      </c>
      <c r="C149" s="1">
        <v>1985.17</v>
      </c>
      <c r="D149" s="1">
        <v>1968.96</v>
      </c>
      <c r="E149" s="1">
        <v>1972.29</v>
      </c>
      <c r="F149" s="1">
        <v>590836928</v>
      </c>
    </row>
    <row r="150" spans="1:6" ht="13" x14ac:dyDescent="0.15">
      <c r="A150" s="3">
        <v>41913</v>
      </c>
      <c r="B150">
        <v>1971.44</v>
      </c>
      <c r="C150" s="1">
        <v>1971.44</v>
      </c>
      <c r="D150" s="1">
        <v>1941.72</v>
      </c>
      <c r="E150" s="1">
        <v>1946.16</v>
      </c>
      <c r="F150" s="1">
        <v>585256448</v>
      </c>
    </row>
    <row r="151" spans="1:6" ht="13" x14ac:dyDescent="0.15">
      <c r="A151" s="3">
        <v>41914</v>
      </c>
      <c r="B151">
        <v>1945.83</v>
      </c>
      <c r="C151" s="1">
        <v>1952.32</v>
      </c>
      <c r="D151" s="1">
        <v>1926.03</v>
      </c>
      <c r="E151" s="1">
        <v>1946.17</v>
      </c>
      <c r="F151" s="1">
        <v>513024416</v>
      </c>
    </row>
    <row r="152" spans="1:6" ht="13" x14ac:dyDescent="0.15">
      <c r="A152" s="3">
        <v>41915</v>
      </c>
      <c r="B152">
        <v>1948.12</v>
      </c>
      <c r="C152" s="1">
        <v>1971.19</v>
      </c>
      <c r="D152" s="1">
        <v>1948.12</v>
      </c>
      <c r="E152" s="1">
        <v>1967.9</v>
      </c>
      <c r="F152" s="1">
        <v>544368512</v>
      </c>
    </row>
    <row r="153" spans="1:6" ht="13" x14ac:dyDescent="0.15">
      <c r="A153" s="3">
        <v>41918</v>
      </c>
      <c r="B153">
        <v>1970.01</v>
      </c>
      <c r="C153" s="1">
        <v>1977.84</v>
      </c>
      <c r="D153" s="1">
        <v>1958.43</v>
      </c>
      <c r="E153" s="1">
        <v>1964.82</v>
      </c>
      <c r="F153" s="1">
        <v>433650400</v>
      </c>
    </row>
    <row r="154" spans="1:6" ht="13" x14ac:dyDescent="0.15">
      <c r="A154" s="3">
        <v>41919</v>
      </c>
      <c r="B154">
        <v>1962.36</v>
      </c>
      <c r="C154" s="1">
        <v>1962.36</v>
      </c>
      <c r="D154" s="1">
        <v>1934.87</v>
      </c>
      <c r="E154" s="1">
        <v>1935.1</v>
      </c>
      <c r="F154" s="1">
        <v>519118432</v>
      </c>
    </row>
    <row r="155" spans="1:6" ht="13" x14ac:dyDescent="0.15">
      <c r="A155" s="3">
        <v>41920</v>
      </c>
      <c r="B155">
        <v>1935.55</v>
      </c>
      <c r="C155" s="1">
        <v>1970.36</v>
      </c>
      <c r="D155" s="1">
        <v>1925.25</v>
      </c>
      <c r="E155" s="1">
        <v>1968.89</v>
      </c>
      <c r="F155" s="1">
        <v>610644288</v>
      </c>
    </row>
    <row r="156" spans="1:6" ht="13" x14ac:dyDescent="0.15">
      <c r="A156" s="3">
        <v>41921</v>
      </c>
      <c r="B156">
        <v>1967.68</v>
      </c>
      <c r="C156" s="1">
        <v>1967.68</v>
      </c>
      <c r="D156" s="1">
        <v>1927.56</v>
      </c>
      <c r="E156" s="1">
        <v>1928.21</v>
      </c>
      <c r="F156" s="1">
        <v>604516224</v>
      </c>
    </row>
    <row r="157" spans="1:6" ht="13" x14ac:dyDescent="0.15">
      <c r="A157" s="3">
        <v>41922</v>
      </c>
      <c r="B157">
        <v>1925.63</v>
      </c>
      <c r="C157" s="1">
        <v>1936.98</v>
      </c>
      <c r="D157" s="1">
        <v>1906.05</v>
      </c>
      <c r="E157" s="1">
        <v>1906.13</v>
      </c>
      <c r="F157" s="1">
        <v>757461760</v>
      </c>
    </row>
    <row r="158" spans="1:6" ht="13" x14ac:dyDescent="0.15">
      <c r="A158" s="3">
        <v>41925</v>
      </c>
      <c r="B158">
        <v>1905.65</v>
      </c>
      <c r="C158" s="1">
        <v>1912.09</v>
      </c>
      <c r="D158" s="1">
        <v>1874.14</v>
      </c>
      <c r="E158" s="1">
        <v>1874.74</v>
      </c>
      <c r="F158" s="1">
        <v>670445952</v>
      </c>
    </row>
    <row r="159" spans="1:6" ht="13" x14ac:dyDescent="0.15">
      <c r="A159" s="3">
        <v>41926</v>
      </c>
      <c r="B159">
        <v>1877.11</v>
      </c>
      <c r="C159" s="1">
        <v>1898.71</v>
      </c>
      <c r="D159" s="1">
        <v>1871.79</v>
      </c>
      <c r="E159" s="1">
        <v>1877.7</v>
      </c>
      <c r="F159" s="1">
        <v>689240960</v>
      </c>
    </row>
    <row r="160" spans="1:6" ht="13" x14ac:dyDescent="0.15">
      <c r="A160" s="3">
        <v>41927</v>
      </c>
      <c r="B160">
        <v>1874.18</v>
      </c>
      <c r="C160" s="1">
        <v>1874.18</v>
      </c>
      <c r="D160" s="1">
        <v>1820.66</v>
      </c>
      <c r="E160" s="1">
        <v>1862.49</v>
      </c>
      <c r="F160" s="1">
        <v>926166336</v>
      </c>
    </row>
    <row r="161" spans="1:6" ht="13" x14ac:dyDescent="0.15">
      <c r="A161" s="3">
        <v>41928</v>
      </c>
      <c r="B161">
        <v>1855.95</v>
      </c>
      <c r="C161" s="1">
        <v>1876.01</v>
      </c>
      <c r="D161" s="1">
        <v>1835.02</v>
      </c>
      <c r="E161" s="1">
        <v>1862.76</v>
      </c>
      <c r="F161" s="1">
        <v>795639104</v>
      </c>
    </row>
    <row r="162" spans="1:6" ht="13" x14ac:dyDescent="0.15">
      <c r="A162" s="3">
        <v>41929</v>
      </c>
      <c r="B162">
        <v>1864.91</v>
      </c>
      <c r="C162" s="1">
        <v>1898.16</v>
      </c>
      <c r="D162" s="1">
        <v>1864.91</v>
      </c>
      <c r="E162" s="1">
        <v>1886.76</v>
      </c>
      <c r="F162" s="1">
        <v>804988672</v>
      </c>
    </row>
    <row r="163" spans="1:6" ht="13" x14ac:dyDescent="0.15">
      <c r="A163" s="3">
        <v>41932</v>
      </c>
      <c r="B163">
        <v>1885.62</v>
      </c>
      <c r="C163" s="1">
        <v>1905.03</v>
      </c>
      <c r="D163" s="1">
        <v>1882.3</v>
      </c>
      <c r="E163" s="1">
        <v>1904.01</v>
      </c>
      <c r="F163" s="1">
        <v>529325760</v>
      </c>
    </row>
    <row r="164" spans="1:6" ht="13" x14ac:dyDescent="0.15">
      <c r="A164" s="3">
        <v>41933</v>
      </c>
      <c r="B164">
        <v>1909.38</v>
      </c>
      <c r="C164" s="1">
        <v>1942.45</v>
      </c>
      <c r="D164" s="1">
        <v>1909.38</v>
      </c>
      <c r="E164" s="1">
        <v>1941.28</v>
      </c>
      <c r="F164" s="1">
        <v>585981440</v>
      </c>
    </row>
    <row r="165" spans="1:6" ht="13" x14ac:dyDescent="0.15">
      <c r="A165" s="3">
        <v>41934</v>
      </c>
      <c r="B165">
        <v>1941.29</v>
      </c>
      <c r="C165" s="1">
        <v>1949.31</v>
      </c>
      <c r="D165" s="1">
        <v>1926.83</v>
      </c>
      <c r="E165" s="1">
        <v>1927.11</v>
      </c>
      <c r="F165" s="1">
        <v>601060032</v>
      </c>
    </row>
    <row r="166" spans="1:6" ht="13" x14ac:dyDescent="0.15">
      <c r="A166" s="3">
        <v>41935</v>
      </c>
      <c r="B166">
        <v>1931.02</v>
      </c>
      <c r="C166" s="1">
        <v>1961.95</v>
      </c>
      <c r="D166" s="1">
        <v>1931.02</v>
      </c>
      <c r="E166" s="1">
        <v>1950.82</v>
      </c>
      <c r="F166" s="1">
        <v>559505152</v>
      </c>
    </row>
    <row r="167" spans="1:6" ht="13" x14ac:dyDescent="0.15">
      <c r="A167" s="3">
        <v>41936</v>
      </c>
      <c r="B167">
        <v>1951.59</v>
      </c>
      <c r="C167" s="1">
        <v>1965.27</v>
      </c>
      <c r="D167" s="1">
        <v>1946.27</v>
      </c>
      <c r="E167" s="1">
        <v>1964.58</v>
      </c>
      <c r="F167" s="1">
        <v>499136544</v>
      </c>
    </row>
    <row r="168" spans="1:6" ht="13" x14ac:dyDescent="0.15">
      <c r="A168" s="3">
        <v>41939</v>
      </c>
      <c r="B168">
        <v>1962.97</v>
      </c>
      <c r="C168" s="1">
        <v>1964.64</v>
      </c>
      <c r="D168" s="1">
        <v>1951.37</v>
      </c>
      <c r="E168" s="1">
        <v>1961.63</v>
      </c>
      <c r="F168" s="1">
        <v>465703584</v>
      </c>
    </row>
    <row r="169" spans="1:6" ht="13" x14ac:dyDescent="0.15">
      <c r="A169" s="3">
        <v>41940</v>
      </c>
      <c r="B169">
        <v>1964.14</v>
      </c>
      <c r="C169" s="1">
        <v>1985.05</v>
      </c>
      <c r="D169" s="1">
        <v>1964.14</v>
      </c>
      <c r="E169" s="1">
        <v>1985.05</v>
      </c>
      <c r="F169" s="1">
        <v>514150432</v>
      </c>
    </row>
    <row r="170" spans="1:6" ht="13" x14ac:dyDescent="0.15">
      <c r="A170" s="3">
        <v>41941</v>
      </c>
      <c r="B170">
        <v>1983.29</v>
      </c>
      <c r="C170" s="1">
        <v>1991.4</v>
      </c>
      <c r="D170" s="1">
        <v>1969.04</v>
      </c>
      <c r="E170" s="1">
        <v>1982.3</v>
      </c>
      <c r="F170" s="1">
        <v>550800320</v>
      </c>
    </row>
    <row r="171" spans="1:6" ht="13" x14ac:dyDescent="0.15">
      <c r="A171" s="3">
        <v>41942</v>
      </c>
      <c r="B171">
        <v>1979.49</v>
      </c>
      <c r="C171" s="1">
        <v>1999.4</v>
      </c>
      <c r="D171" s="1">
        <v>1974.75</v>
      </c>
      <c r="E171" s="1">
        <v>1994.65</v>
      </c>
      <c r="F171" s="1">
        <v>511882080</v>
      </c>
    </row>
    <row r="172" spans="1:6" ht="13" x14ac:dyDescent="0.15">
      <c r="A172" s="3">
        <v>41943</v>
      </c>
      <c r="B172">
        <v>2001.2</v>
      </c>
      <c r="C172" s="1">
        <v>2018.19</v>
      </c>
      <c r="D172" s="1">
        <v>2001.2</v>
      </c>
      <c r="E172" s="1">
        <v>2018.05</v>
      </c>
      <c r="F172" s="1">
        <v>699228288</v>
      </c>
    </row>
    <row r="173" spans="1:6" ht="13" x14ac:dyDescent="0.15">
      <c r="A173" s="3">
        <v>41946</v>
      </c>
      <c r="B173">
        <v>2018.21</v>
      </c>
      <c r="C173" s="1">
        <v>2024.46</v>
      </c>
      <c r="D173" s="1">
        <v>2013.68</v>
      </c>
      <c r="E173" s="1">
        <v>2017.81</v>
      </c>
      <c r="F173" s="1">
        <v>495456864</v>
      </c>
    </row>
    <row r="174" spans="1:6" ht="13" x14ac:dyDescent="0.15">
      <c r="A174" s="3">
        <v>41947</v>
      </c>
      <c r="B174">
        <v>2015.81</v>
      </c>
      <c r="C174" s="1">
        <v>2015.98</v>
      </c>
      <c r="D174" s="1">
        <v>2001.01</v>
      </c>
      <c r="E174" s="1">
        <v>2012.1</v>
      </c>
      <c r="F174" s="1">
        <v>523568992</v>
      </c>
    </row>
    <row r="175" spans="1:6" ht="13" x14ac:dyDescent="0.15">
      <c r="A175" s="3">
        <v>41948</v>
      </c>
      <c r="B175">
        <v>2015.29</v>
      </c>
      <c r="C175" s="1">
        <v>2023.77</v>
      </c>
      <c r="D175" s="1">
        <v>2014.42</v>
      </c>
      <c r="E175" s="1">
        <v>2023.57</v>
      </c>
      <c r="F175" s="1">
        <v>510768896</v>
      </c>
    </row>
    <row r="176" spans="1:6" ht="13" x14ac:dyDescent="0.15">
      <c r="A176" s="3">
        <v>41949</v>
      </c>
      <c r="B176">
        <v>2023.33</v>
      </c>
      <c r="C176" s="1">
        <v>2031.61</v>
      </c>
      <c r="D176" s="1">
        <v>2015.86</v>
      </c>
      <c r="E176" s="1">
        <v>2031.21</v>
      </c>
      <c r="F176" s="1">
        <v>497799904</v>
      </c>
    </row>
    <row r="177" spans="1:6" ht="13" x14ac:dyDescent="0.15">
      <c r="A177" s="3">
        <v>41950</v>
      </c>
      <c r="B177">
        <v>2032.36</v>
      </c>
      <c r="C177" s="1">
        <v>2034.26</v>
      </c>
      <c r="D177" s="1">
        <v>2025.07</v>
      </c>
      <c r="E177" s="1">
        <v>2031.92</v>
      </c>
      <c r="F177" s="1">
        <v>507586944</v>
      </c>
    </row>
    <row r="178" spans="1:6" ht="13" x14ac:dyDescent="0.15">
      <c r="A178" s="3">
        <v>41953</v>
      </c>
      <c r="B178">
        <v>2032.01</v>
      </c>
      <c r="C178" s="1">
        <v>2038.7</v>
      </c>
      <c r="D178" s="1">
        <v>2030.17</v>
      </c>
      <c r="E178" s="1">
        <v>2038.26</v>
      </c>
      <c r="F178" s="1">
        <v>459537472</v>
      </c>
    </row>
    <row r="179" spans="1:6" ht="13" x14ac:dyDescent="0.15">
      <c r="A179" s="3">
        <v>41954</v>
      </c>
      <c r="B179">
        <v>2038.2</v>
      </c>
      <c r="C179" s="1">
        <v>2041.28</v>
      </c>
      <c r="D179" s="1">
        <v>2035.28</v>
      </c>
      <c r="E179" s="1">
        <v>2039.68</v>
      </c>
      <c r="F179" s="1">
        <v>379125632</v>
      </c>
    </row>
    <row r="180" spans="1:6" ht="13" x14ac:dyDescent="0.15">
      <c r="A180" s="3">
        <v>41955</v>
      </c>
      <c r="B180">
        <v>2037.75</v>
      </c>
      <c r="C180" s="1">
        <v>2040.33</v>
      </c>
      <c r="D180" s="1">
        <v>2031.95</v>
      </c>
      <c r="E180" s="1">
        <v>2038.25</v>
      </c>
      <c r="F180" s="1">
        <v>460395136</v>
      </c>
    </row>
    <row r="181" spans="1:6" ht="13" x14ac:dyDescent="0.15">
      <c r="A181" s="3">
        <v>41956</v>
      </c>
      <c r="B181">
        <v>2039.21</v>
      </c>
      <c r="C181" s="1">
        <v>2046.18</v>
      </c>
      <c r="D181" s="1">
        <v>2030.44</v>
      </c>
      <c r="E181" s="1">
        <v>2039.33</v>
      </c>
      <c r="F181" s="1">
        <v>470696320</v>
      </c>
    </row>
    <row r="182" spans="1:6" ht="13" x14ac:dyDescent="0.15">
      <c r="A182" s="3">
        <v>41957</v>
      </c>
      <c r="B182">
        <v>2039.74</v>
      </c>
      <c r="C182" s="1">
        <v>2042.22</v>
      </c>
      <c r="D182" s="1">
        <v>2035.2</v>
      </c>
      <c r="E182" s="1">
        <v>2039.82</v>
      </c>
      <c r="F182" s="1">
        <v>447791200</v>
      </c>
    </row>
    <row r="183" spans="1:6" ht="13" x14ac:dyDescent="0.15">
      <c r="A183" s="3">
        <v>41960</v>
      </c>
      <c r="B183">
        <v>2038.29</v>
      </c>
      <c r="C183" s="1">
        <v>2043.07</v>
      </c>
      <c r="D183" s="1">
        <v>2034.46</v>
      </c>
      <c r="E183" s="1">
        <v>2041.32</v>
      </c>
      <c r="F183" s="1">
        <v>465969760</v>
      </c>
    </row>
    <row r="184" spans="1:6" ht="13" x14ac:dyDescent="0.15">
      <c r="A184" s="3">
        <v>41961</v>
      </c>
      <c r="B184">
        <v>2041.48</v>
      </c>
      <c r="C184" s="1">
        <v>2056.08</v>
      </c>
      <c r="D184" s="1">
        <v>2041.48</v>
      </c>
      <c r="E184" s="1">
        <v>2051.8000000000002</v>
      </c>
      <c r="F184" s="1">
        <v>465624672</v>
      </c>
    </row>
    <row r="185" spans="1:6" ht="13" x14ac:dyDescent="0.15">
      <c r="A185" s="3">
        <v>41962</v>
      </c>
      <c r="B185">
        <v>2051.16</v>
      </c>
      <c r="C185" s="1">
        <v>2052.14</v>
      </c>
      <c r="D185" s="1">
        <v>2040.37</v>
      </c>
      <c r="E185" s="1">
        <v>2048.7199999999998</v>
      </c>
      <c r="F185" s="1">
        <v>456731072</v>
      </c>
    </row>
    <row r="186" spans="1:6" ht="13" x14ac:dyDescent="0.15">
      <c r="A186" s="3">
        <v>41963</v>
      </c>
      <c r="B186">
        <v>2045.87</v>
      </c>
      <c r="C186" s="1">
        <v>2053.84</v>
      </c>
      <c r="D186" s="1">
        <v>2040.49</v>
      </c>
      <c r="E186" s="1">
        <v>2052.75</v>
      </c>
      <c r="F186" s="1">
        <v>444921696</v>
      </c>
    </row>
    <row r="187" spans="1:6" ht="13" x14ac:dyDescent="0.15">
      <c r="A187" s="3">
        <v>41964</v>
      </c>
      <c r="B187">
        <v>2057.46</v>
      </c>
      <c r="C187" s="1">
        <v>2071.46</v>
      </c>
      <c r="D187" s="1">
        <v>2056.75</v>
      </c>
      <c r="E187" s="1">
        <v>2063.5</v>
      </c>
      <c r="F187" s="1">
        <v>725419264</v>
      </c>
    </row>
    <row r="188" spans="1:6" ht="13" x14ac:dyDescent="0.15">
      <c r="A188" s="3">
        <v>41967</v>
      </c>
      <c r="B188">
        <v>2065.0700000000002</v>
      </c>
      <c r="C188" s="1">
        <v>2070.17</v>
      </c>
      <c r="D188" s="1">
        <v>2065.0700000000002</v>
      </c>
      <c r="E188" s="1">
        <v>2069.41</v>
      </c>
      <c r="F188" s="1">
        <v>483141728</v>
      </c>
    </row>
    <row r="189" spans="1:6" ht="13" x14ac:dyDescent="0.15">
      <c r="A189" s="3">
        <v>41968</v>
      </c>
      <c r="B189">
        <v>2070.15</v>
      </c>
      <c r="C189" s="1">
        <v>2074.21</v>
      </c>
      <c r="D189" s="1">
        <v>2064.75</v>
      </c>
      <c r="E189" s="1">
        <v>2067.0300000000002</v>
      </c>
      <c r="F189" s="1">
        <v>587138688</v>
      </c>
    </row>
    <row r="190" spans="1:6" ht="13" x14ac:dyDescent="0.15">
      <c r="A190" s="3">
        <v>41969</v>
      </c>
      <c r="B190">
        <v>2067.36</v>
      </c>
      <c r="C190" s="1">
        <v>2073.29</v>
      </c>
      <c r="D190" s="1">
        <v>2066.62</v>
      </c>
      <c r="E190" s="1">
        <v>2072.83</v>
      </c>
      <c r="F190" s="1">
        <v>510044160</v>
      </c>
    </row>
    <row r="191" spans="1:6" ht="13" x14ac:dyDescent="0.15">
      <c r="A191" s="3">
        <v>41971</v>
      </c>
      <c r="B191">
        <v>2074.7800000000002</v>
      </c>
      <c r="C191" s="1">
        <v>2075.7600000000002</v>
      </c>
      <c r="D191" s="1">
        <v>2065.06</v>
      </c>
      <c r="E191" s="1">
        <v>2067.56</v>
      </c>
      <c r="F191" s="1">
        <v>411804576</v>
      </c>
    </row>
    <row r="192" spans="1:6" ht="13" x14ac:dyDescent="0.15">
      <c r="A192" s="3">
        <v>41974</v>
      </c>
      <c r="B192">
        <v>2065.7800000000002</v>
      </c>
      <c r="C192" s="1">
        <v>2065.7800000000002</v>
      </c>
      <c r="D192" s="1">
        <v>2049.5700000000002</v>
      </c>
      <c r="E192" s="1">
        <v>2053.44</v>
      </c>
      <c r="F192" s="1">
        <v>547602432</v>
      </c>
    </row>
    <row r="193" spans="1:6" ht="13" x14ac:dyDescent="0.15">
      <c r="A193" s="3">
        <v>41975</v>
      </c>
      <c r="B193">
        <v>2053.77</v>
      </c>
      <c r="C193" s="1">
        <v>2068.77</v>
      </c>
      <c r="D193" s="1">
        <v>2053.77</v>
      </c>
      <c r="E193" s="1">
        <v>2066.5500000000002</v>
      </c>
      <c r="F193" s="1">
        <v>498385216</v>
      </c>
    </row>
    <row r="194" spans="1:6" ht="13" x14ac:dyDescent="0.15">
      <c r="A194" s="3">
        <v>41976</v>
      </c>
      <c r="B194">
        <v>2067.4499999999998</v>
      </c>
      <c r="C194" s="1">
        <v>2076.2800000000002</v>
      </c>
      <c r="D194" s="1">
        <v>2066.65</v>
      </c>
      <c r="E194" s="1">
        <v>2074.33</v>
      </c>
      <c r="F194" s="1">
        <v>536229440</v>
      </c>
    </row>
    <row r="195" spans="1:6" ht="13" x14ac:dyDescent="0.15">
      <c r="A195" s="3">
        <v>41977</v>
      </c>
      <c r="B195">
        <v>2073.64</v>
      </c>
      <c r="C195" s="1">
        <v>2077.34</v>
      </c>
      <c r="D195" s="1">
        <v>2062.34</v>
      </c>
      <c r="E195" s="1">
        <v>2071.92</v>
      </c>
      <c r="F195" s="1">
        <v>495730432</v>
      </c>
    </row>
    <row r="196" spans="1:6" ht="13" x14ac:dyDescent="0.15">
      <c r="A196" s="3">
        <v>41978</v>
      </c>
      <c r="B196">
        <v>2072.7800000000002</v>
      </c>
      <c r="C196" s="1">
        <v>2079.4699999999998</v>
      </c>
      <c r="D196" s="1">
        <v>2070.81</v>
      </c>
      <c r="E196" s="1">
        <v>2075.37</v>
      </c>
      <c r="F196" s="1">
        <v>492962880</v>
      </c>
    </row>
    <row r="197" spans="1:6" ht="13" x14ac:dyDescent="0.15">
      <c r="A197" s="3">
        <v>41981</v>
      </c>
      <c r="B197">
        <v>2074.84</v>
      </c>
      <c r="C197" s="1">
        <v>2075.7800000000002</v>
      </c>
      <c r="D197" s="1">
        <v>2054.27</v>
      </c>
      <c r="E197" s="1">
        <v>2060.31</v>
      </c>
      <c r="F197" s="1">
        <v>547783936</v>
      </c>
    </row>
    <row r="198" spans="1:6" ht="13" x14ac:dyDescent="0.15">
      <c r="A198" s="3">
        <v>41982</v>
      </c>
      <c r="B198">
        <v>2056.5500000000002</v>
      </c>
      <c r="C198" s="1">
        <v>2060.6</v>
      </c>
      <c r="D198" s="1">
        <v>2034.17</v>
      </c>
      <c r="E198" s="1">
        <v>2059.8200000000002</v>
      </c>
      <c r="F198" s="1">
        <v>530021152</v>
      </c>
    </row>
    <row r="199" spans="1:6" ht="13" x14ac:dyDescent="0.15">
      <c r="A199" s="3">
        <v>41983</v>
      </c>
      <c r="B199">
        <v>2058.86</v>
      </c>
      <c r="C199" s="1">
        <v>2058.86</v>
      </c>
      <c r="D199" s="1">
        <v>2024.26</v>
      </c>
      <c r="E199" s="1">
        <v>2026.14</v>
      </c>
      <c r="F199" s="1">
        <v>619302592</v>
      </c>
    </row>
    <row r="200" spans="1:6" ht="13" x14ac:dyDescent="0.15">
      <c r="A200" s="3">
        <v>41984</v>
      </c>
      <c r="B200">
        <v>2027.92</v>
      </c>
      <c r="C200" s="1">
        <v>2055.5300000000002</v>
      </c>
      <c r="D200" s="1">
        <v>2027.92</v>
      </c>
      <c r="E200" s="1">
        <v>2035.33</v>
      </c>
      <c r="F200" s="1">
        <v>527454464</v>
      </c>
    </row>
    <row r="201" spans="1:6" ht="13" x14ac:dyDescent="0.15">
      <c r="A201" s="3">
        <v>41985</v>
      </c>
      <c r="B201">
        <v>2030.36</v>
      </c>
      <c r="C201" s="1">
        <v>2032.25</v>
      </c>
      <c r="D201" s="1">
        <v>2002.33</v>
      </c>
      <c r="E201" s="1">
        <v>2002.33</v>
      </c>
      <c r="F201" s="1">
        <v>657404416</v>
      </c>
    </row>
    <row r="202" spans="1:6" ht="13" x14ac:dyDescent="0.15">
      <c r="A202" s="3">
        <v>41988</v>
      </c>
      <c r="B202">
        <v>2005.03</v>
      </c>
      <c r="C202" s="1">
        <v>2018.69</v>
      </c>
      <c r="D202" s="1">
        <v>1982.26</v>
      </c>
      <c r="E202" s="1">
        <v>1989.63</v>
      </c>
      <c r="F202" s="1">
        <v>669997120</v>
      </c>
    </row>
    <row r="203" spans="1:6" ht="13" x14ac:dyDescent="0.15">
      <c r="A203" s="3">
        <v>41989</v>
      </c>
      <c r="B203">
        <v>1986.71</v>
      </c>
      <c r="C203" s="1">
        <v>2016.89</v>
      </c>
      <c r="D203" s="1">
        <v>1972.56</v>
      </c>
      <c r="E203" s="1">
        <v>1972.74</v>
      </c>
      <c r="F203" s="1">
        <v>690234176</v>
      </c>
    </row>
    <row r="204" spans="1:6" ht="13" x14ac:dyDescent="0.15">
      <c r="A204" s="3">
        <v>41990</v>
      </c>
      <c r="B204">
        <v>1973.77</v>
      </c>
      <c r="C204" s="1">
        <v>2016.75</v>
      </c>
      <c r="D204" s="1">
        <v>1973.77</v>
      </c>
      <c r="E204" s="1">
        <v>2012.89</v>
      </c>
      <c r="F204" s="1">
        <v>658787392</v>
      </c>
    </row>
    <row r="205" spans="1:6" ht="13" x14ac:dyDescent="0.15">
      <c r="A205" s="3">
        <v>41991</v>
      </c>
      <c r="B205">
        <v>2018.98</v>
      </c>
      <c r="C205" s="1">
        <v>2061.23</v>
      </c>
      <c r="D205" s="1">
        <v>2018.98</v>
      </c>
      <c r="E205" s="1">
        <v>2061.23</v>
      </c>
      <c r="F205" s="1">
        <v>667150336</v>
      </c>
    </row>
    <row r="206" spans="1:6" ht="13" x14ac:dyDescent="0.15">
      <c r="A206" s="3">
        <v>41992</v>
      </c>
      <c r="B206">
        <v>2061.04</v>
      </c>
      <c r="C206" s="1">
        <v>2077.85</v>
      </c>
      <c r="D206" s="1">
        <v>2061.0300000000002</v>
      </c>
      <c r="E206" s="1">
        <v>2070.65</v>
      </c>
      <c r="F206" s="1">
        <v>560226816</v>
      </c>
    </row>
    <row r="207" spans="1:6" ht="13" x14ac:dyDescent="0.15">
      <c r="A207" s="3">
        <v>41995</v>
      </c>
      <c r="B207">
        <v>2069.2800000000002</v>
      </c>
      <c r="C207" s="1">
        <v>2078.7600000000002</v>
      </c>
      <c r="D207" s="1">
        <v>2069.2800000000002</v>
      </c>
      <c r="E207" s="1">
        <v>2078.54</v>
      </c>
      <c r="F207" s="1">
        <v>550799168</v>
      </c>
    </row>
    <row r="208" spans="1:6" ht="13" x14ac:dyDescent="0.15">
      <c r="A208" s="3">
        <v>41996</v>
      </c>
      <c r="B208">
        <v>2081.48</v>
      </c>
      <c r="C208" s="1">
        <v>2086.73</v>
      </c>
      <c r="D208" s="1">
        <v>2079.77</v>
      </c>
      <c r="E208" s="1">
        <v>2082.17</v>
      </c>
      <c r="F208" s="1">
        <v>473266656</v>
      </c>
    </row>
    <row r="209" spans="1:6" ht="13" x14ac:dyDescent="0.15">
      <c r="A209" s="3">
        <v>41997</v>
      </c>
      <c r="B209">
        <v>2083.25</v>
      </c>
      <c r="C209" s="1">
        <v>2087.56</v>
      </c>
      <c r="D209" s="1">
        <v>2081.86</v>
      </c>
      <c r="E209" s="1">
        <v>2081.88</v>
      </c>
      <c r="F209" s="1">
        <v>224945664</v>
      </c>
    </row>
    <row r="210" spans="1:6" ht="13" x14ac:dyDescent="0.15">
      <c r="A210" s="3">
        <v>41999</v>
      </c>
      <c r="B210">
        <v>2084.3000000000002</v>
      </c>
      <c r="C210" s="1">
        <v>2092.6999999999998</v>
      </c>
      <c r="D210" s="1">
        <v>2084.3000000000002</v>
      </c>
      <c r="E210" s="1">
        <v>2088.77</v>
      </c>
      <c r="F210" s="1">
        <v>286763392</v>
      </c>
    </row>
    <row r="211" spans="1:6" ht="13" x14ac:dyDescent="0.15">
      <c r="A211" s="3">
        <v>42002</v>
      </c>
      <c r="B211">
        <v>2087.63</v>
      </c>
      <c r="C211" s="1">
        <v>2093.5500000000002</v>
      </c>
      <c r="D211" s="1">
        <v>2085.75</v>
      </c>
      <c r="E211" s="1">
        <v>2090.5700000000002</v>
      </c>
      <c r="F211" s="1">
        <v>331929440</v>
      </c>
    </row>
    <row r="212" spans="1:6" ht="13" x14ac:dyDescent="0.15">
      <c r="A212" s="3">
        <v>42003</v>
      </c>
      <c r="B212">
        <v>2088.4899999999998</v>
      </c>
      <c r="C212" s="1">
        <v>2088.4899999999998</v>
      </c>
      <c r="D212" s="1">
        <v>2079.5300000000002</v>
      </c>
      <c r="E212" s="1">
        <v>2080.35</v>
      </c>
      <c r="F212" s="1">
        <v>307724448</v>
      </c>
    </row>
    <row r="213" spans="1:6" ht="13" x14ac:dyDescent="0.15">
      <c r="A213" s="3">
        <v>42004</v>
      </c>
      <c r="B213">
        <v>2082.11</v>
      </c>
      <c r="C213" s="1">
        <v>2085.58</v>
      </c>
      <c r="D213" s="1">
        <v>2057.94</v>
      </c>
      <c r="E213" s="1">
        <v>2058.9</v>
      </c>
      <c r="F213" s="1">
        <v>415208832</v>
      </c>
    </row>
    <row r="214" spans="1:6" ht="13" x14ac:dyDescent="0.15">
      <c r="A214" s="3">
        <v>42006</v>
      </c>
      <c r="B214">
        <v>2058.9</v>
      </c>
      <c r="C214" s="1">
        <v>2072.36</v>
      </c>
      <c r="D214" s="1">
        <v>2046.04</v>
      </c>
      <c r="E214" s="1">
        <v>2058.1999999999998</v>
      </c>
      <c r="F214" s="1">
        <v>426937581</v>
      </c>
    </row>
    <row r="215" spans="1:6" ht="13" x14ac:dyDescent="0.15">
      <c r="A215" s="3">
        <v>42009</v>
      </c>
      <c r="B215">
        <v>2054.44</v>
      </c>
      <c r="C215" s="1">
        <v>2054.44</v>
      </c>
      <c r="D215" s="1">
        <v>2017.34</v>
      </c>
      <c r="E215" s="1">
        <v>2020.58</v>
      </c>
      <c r="F215" s="1">
        <v>611506858</v>
      </c>
    </row>
    <row r="216" spans="1:6" ht="13" x14ac:dyDescent="0.15">
      <c r="A216" s="3">
        <v>42010</v>
      </c>
      <c r="B216">
        <v>2022.15</v>
      </c>
      <c r="C216" s="1">
        <v>2030.25</v>
      </c>
      <c r="D216" s="1">
        <v>1992.44</v>
      </c>
      <c r="E216" s="1">
        <v>2002.61</v>
      </c>
      <c r="F216" s="1">
        <v>628224413</v>
      </c>
    </row>
    <row r="217" spans="1:6" ht="13" x14ac:dyDescent="0.15">
      <c r="A217" s="3">
        <v>42011</v>
      </c>
      <c r="B217">
        <v>2005.55</v>
      </c>
      <c r="C217" s="1">
        <v>2029.61</v>
      </c>
      <c r="D217" s="1">
        <v>2005.55</v>
      </c>
      <c r="E217" s="1">
        <v>2025.9</v>
      </c>
      <c r="F217" s="1">
        <v>538478740</v>
      </c>
    </row>
    <row r="218" spans="1:6" ht="13" x14ac:dyDescent="0.15">
      <c r="A218" s="3">
        <v>42012</v>
      </c>
      <c r="B218">
        <v>2030.61</v>
      </c>
      <c r="C218" s="1">
        <v>2064.08</v>
      </c>
      <c r="D218" s="1">
        <v>2030.61</v>
      </c>
      <c r="E218" s="1">
        <v>2062.14</v>
      </c>
      <c r="F218" s="1">
        <v>604827987</v>
      </c>
    </row>
    <row r="219" spans="1:6" ht="13" x14ac:dyDescent="0.15">
      <c r="A219" s="3">
        <v>42013</v>
      </c>
      <c r="B219">
        <v>2063.4499999999998</v>
      </c>
      <c r="C219" s="1">
        <v>2064.4299999999998</v>
      </c>
      <c r="D219" s="1">
        <v>2038.33</v>
      </c>
      <c r="E219" s="1">
        <v>2044.81</v>
      </c>
      <c r="F219" s="1">
        <v>503887901</v>
      </c>
    </row>
    <row r="220" spans="1:6" ht="13" x14ac:dyDescent="0.15">
      <c r="A220" s="3">
        <v>42016</v>
      </c>
      <c r="B220">
        <v>2046.13</v>
      </c>
      <c r="C220" s="1">
        <v>2049.3000000000002</v>
      </c>
      <c r="D220" s="1">
        <v>2022.58</v>
      </c>
      <c r="E220" s="1">
        <v>2028.26</v>
      </c>
      <c r="F220" s="1">
        <v>536631269</v>
      </c>
    </row>
    <row r="221" spans="1:6" ht="13" x14ac:dyDescent="0.15">
      <c r="A221" s="3">
        <v>42017</v>
      </c>
      <c r="B221">
        <v>2031.58</v>
      </c>
      <c r="C221" s="1">
        <v>2056.9299999999998</v>
      </c>
      <c r="D221" s="1">
        <v>2008.25</v>
      </c>
      <c r="E221" s="1">
        <v>2023.03</v>
      </c>
      <c r="F221" s="1">
        <v>610182246</v>
      </c>
    </row>
    <row r="222" spans="1:6" ht="13" x14ac:dyDescent="0.15">
      <c r="A222" s="3">
        <v>42018</v>
      </c>
      <c r="B222">
        <v>2018.4</v>
      </c>
      <c r="C222" s="1">
        <v>2018.4</v>
      </c>
      <c r="D222" s="1">
        <v>1988.44</v>
      </c>
      <c r="E222" s="1">
        <v>2011.27</v>
      </c>
      <c r="F222" s="1">
        <v>673001114</v>
      </c>
    </row>
    <row r="223" spans="1:6" ht="13" x14ac:dyDescent="0.15">
      <c r="A223" s="3">
        <v>42019</v>
      </c>
      <c r="B223">
        <v>2013.75</v>
      </c>
      <c r="C223" s="1">
        <v>2021.35</v>
      </c>
      <c r="D223" s="1">
        <v>1991.47</v>
      </c>
      <c r="E223" s="1">
        <v>1992.67</v>
      </c>
      <c r="F223" s="1">
        <v>608258039</v>
      </c>
    </row>
    <row r="224" spans="1:6" ht="13" x14ac:dyDescent="0.15">
      <c r="A224" s="3">
        <v>42020</v>
      </c>
      <c r="B224">
        <v>1992.25</v>
      </c>
      <c r="C224" s="1">
        <v>2020.46</v>
      </c>
      <c r="D224" s="1">
        <v>1988.12</v>
      </c>
      <c r="E224" s="1">
        <v>2019.42</v>
      </c>
      <c r="F224" s="1">
        <v>731828339</v>
      </c>
    </row>
    <row r="225" spans="1:6" ht="13" x14ac:dyDescent="0.15">
      <c r="A225" s="3">
        <v>42024</v>
      </c>
      <c r="B225">
        <v>2020.76</v>
      </c>
      <c r="C225" s="1">
        <v>2028.94</v>
      </c>
      <c r="D225" s="1">
        <v>2004.49</v>
      </c>
      <c r="E225" s="1">
        <v>2022.55</v>
      </c>
      <c r="F225" s="1">
        <v>605394244</v>
      </c>
    </row>
    <row r="226" spans="1:6" ht="13" x14ac:dyDescent="0.15">
      <c r="A226" s="3">
        <v>42025</v>
      </c>
      <c r="B226">
        <v>2020.19</v>
      </c>
      <c r="C226" s="1">
        <v>2038.29</v>
      </c>
      <c r="D226" s="1">
        <v>2012.04</v>
      </c>
      <c r="E226" s="1">
        <v>2032.12</v>
      </c>
      <c r="F226" s="1">
        <v>538996626</v>
      </c>
    </row>
    <row r="227" spans="1:6" ht="13" x14ac:dyDescent="0.15">
      <c r="A227" s="3">
        <v>42026</v>
      </c>
      <c r="B227">
        <v>2034.3</v>
      </c>
      <c r="C227" s="1">
        <v>2064.62</v>
      </c>
      <c r="D227" s="1">
        <v>2026.38</v>
      </c>
      <c r="E227" s="1">
        <v>2063.15</v>
      </c>
      <c r="F227" s="1">
        <v>643547837</v>
      </c>
    </row>
    <row r="228" spans="1:6" ht="13" x14ac:dyDescent="0.15">
      <c r="A228" s="3">
        <v>42027</v>
      </c>
      <c r="B228">
        <v>2062.98</v>
      </c>
      <c r="C228" s="1">
        <v>2062.98</v>
      </c>
      <c r="D228" s="1">
        <v>2050.54</v>
      </c>
      <c r="E228" s="1">
        <v>2051.8200000000002</v>
      </c>
      <c r="F228" s="1">
        <v>535455933</v>
      </c>
    </row>
    <row r="229" spans="1:6" ht="13" x14ac:dyDescent="0.15">
      <c r="A229" s="3">
        <v>42030</v>
      </c>
      <c r="B229">
        <v>2050.42</v>
      </c>
      <c r="C229" s="1">
        <v>2057.62</v>
      </c>
      <c r="D229" s="1">
        <v>2040.97</v>
      </c>
      <c r="E229" s="1">
        <v>2057.09</v>
      </c>
      <c r="F229" s="1">
        <v>525986275</v>
      </c>
    </row>
    <row r="230" spans="1:6" ht="13" x14ac:dyDescent="0.15">
      <c r="A230" s="3">
        <v>42031</v>
      </c>
      <c r="B230">
        <v>2047.86</v>
      </c>
      <c r="C230" s="1">
        <v>2047.86</v>
      </c>
      <c r="D230" s="1">
        <v>2019.91</v>
      </c>
      <c r="E230" s="1">
        <v>2029.55</v>
      </c>
      <c r="F230" s="1">
        <v>562176423</v>
      </c>
    </row>
    <row r="231" spans="1:6" ht="13" x14ac:dyDescent="0.15">
      <c r="A231" s="3">
        <v>42032</v>
      </c>
      <c r="B231">
        <v>2032.34</v>
      </c>
      <c r="C231" s="1">
        <v>2042.49</v>
      </c>
      <c r="D231" s="1">
        <v>2001.49</v>
      </c>
      <c r="E231" s="1">
        <v>2002.16</v>
      </c>
      <c r="F231" s="1">
        <v>648480471</v>
      </c>
    </row>
    <row r="232" spans="1:6" ht="13" x14ac:dyDescent="0.15">
      <c r="A232" s="3">
        <v>42033</v>
      </c>
      <c r="B232">
        <v>2002.45</v>
      </c>
      <c r="C232" s="1">
        <v>2024.64</v>
      </c>
      <c r="D232" s="1">
        <v>1989.18</v>
      </c>
      <c r="E232" s="1">
        <v>2021.25</v>
      </c>
      <c r="F232" s="1">
        <v>620130124</v>
      </c>
    </row>
    <row r="233" spans="1:6" ht="13" x14ac:dyDescent="0.15">
      <c r="A233" s="3">
        <v>42034</v>
      </c>
      <c r="B233">
        <v>2019.35</v>
      </c>
      <c r="C233" s="1">
        <v>2023.32</v>
      </c>
      <c r="D233" s="1">
        <v>1993.38</v>
      </c>
      <c r="E233" s="1">
        <v>1994.99</v>
      </c>
      <c r="F233" s="1">
        <v>893217502</v>
      </c>
    </row>
    <row r="234" spans="1:6" ht="13" x14ac:dyDescent="0.15">
      <c r="A234" s="3">
        <v>42037</v>
      </c>
      <c r="B234">
        <v>1996.67</v>
      </c>
      <c r="C234" s="1">
        <v>2021.66</v>
      </c>
      <c r="D234" s="1">
        <v>1980.9</v>
      </c>
      <c r="E234" s="1">
        <v>2020.85</v>
      </c>
      <c r="F234" s="1">
        <v>637708675</v>
      </c>
    </row>
    <row r="235" spans="1:6" ht="13" x14ac:dyDescent="0.15">
      <c r="A235" s="3">
        <v>42038</v>
      </c>
      <c r="B235">
        <v>2022.71</v>
      </c>
      <c r="C235" s="1">
        <v>2050.3000000000002</v>
      </c>
      <c r="D235" s="1">
        <v>2022.71</v>
      </c>
      <c r="E235" s="1">
        <v>2050.0300000000002</v>
      </c>
      <c r="F235" s="1">
        <v>658300755</v>
      </c>
    </row>
    <row r="236" spans="1:6" ht="13" x14ac:dyDescent="0.15">
      <c r="A236" s="3">
        <v>42039</v>
      </c>
      <c r="B236">
        <v>2048.86</v>
      </c>
      <c r="C236" s="1">
        <v>2054.7399999999998</v>
      </c>
      <c r="D236" s="1">
        <v>2036.72</v>
      </c>
      <c r="E236" s="1">
        <v>2041.51</v>
      </c>
      <c r="F236" s="1">
        <v>638853840</v>
      </c>
    </row>
    <row r="237" spans="1:6" ht="13" x14ac:dyDescent="0.15">
      <c r="A237" s="3">
        <v>42040</v>
      </c>
      <c r="B237">
        <v>2043.45</v>
      </c>
      <c r="C237" s="1">
        <v>2063.5500000000002</v>
      </c>
      <c r="D237" s="1">
        <v>2043.45</v>
      </c>
      <c r="E237" s="1">
        <v>2062.52</v>
      </c>
      <c r="F237" s="1">
        <v>532688569</v>
      </c>
    </row>
    <row r="238" spans="1:6" ht="13" x14ac:dyDescent="0.15">
      <c r="A238" s="3">
        <v>42041</v>
      </c>
      <c r="B238">
        <v>2062.2800000000002</v>
      </c>
      <c r="C238" s="1">
        <v>2072.4</v>
      </c>
      <c r="D238" s="1">
        <v>2049.9699999999998</v>
      </c>
      <c r="E238" s="1">
        <v>2055.4699999999998</v>
      </c>
      <c r="F238" s="1">
        <v>590733024</v>
      </c>
    </row>
    <row r="239" spans="1:6" ht="13" x14ac:dyDescent="0.15">
      <c r="A239" s="3">
        <v>42044</v>
      </c>
      <c r="B239">
        <v>2053.4699999999998</v>
      </c>
      <c r="C239" s="1">
        <v>2056.16</v>
      </c>
      <c r="D239" s="1">
        <v>2041.88</v>
      </c>
      <c r="E239" s="1">
        <v>2046.74</v>
      </c>
      <c r="F239" s="1">
        <v>502321634</v>
      </c>
    </row>
    <row r="240" spans="1:6" ht="13" x14ac:dyDescent="0.15">
      <c r="A240" s="3">
        <v>42045</v>
      </c>
      <c r="B240">
        <v>2049.38</v>
      </c>
      <c r="C240" s="1">
        <v>2070.86</v>
      </c>
      <c r="D240" s="1">
        <v>2048.62</v>
      </c>
      <c r="E240" s="1">
        <v>2068.59</v>
      </c>
      <c r="F240" s="1">
        <v>537838874</v>
      </c>
    </row>
    <row r="241" spans="1:6" ht="13" x14ac:dyDescent="0.15">
      <c r="A241" s="3">
        <v>42046</v>
      </c>
      <c r="B241">
        <v>2068.5500000000002</v>
      </c>
      <c r="C241" s="1">
        <v>2073.48</v>
      </c>
      <c r="D241" s="1">
        <v>2057.9899999999998</v>
      </c>
      <c r="E241" s="1">
        <v>2068.5300000000002</v>
      </c>
      <c r="F241" s="1">
        <v>502374735</v>
      </c>
    </row>
    <row r="242" spans="1:6" ht="13" x14ac:dyDescent="0.15">
      <c r="A242" s="3">
        <v>42047</v>
      </c>
      <c r="B242">
        <v>2069.98</v>
      </c>
      <c r="C242" s="1">
        <v>2088.5300000000002</v>
      </c>
      <c r="D242" s="1">
        <v>2069.98</v>
      </c>
      <c r="E242" s="1">
        <v>2088.48</v>
      </c>
      <c r="F242" s="1">
        <v>563402483</v>
      </c>
    </row>
    <row r="243" spans="1:6" ht="13" x14ac:dyDescent="0.15">
      <c r="A243" s="3">
        <v>42048</v>
      </c>
      <c r="B243">
        <v>2088.7800000000002</v>
      </c>
      <c r="C243" s="1">
        <v>2097.0300000000002</v>
      </c>
      <c r="D243" s="1">
        <v>2086.6999999999998</v>
      </c>
      <c r="E243" s="1">
        <v>2096.9899999999998</v>
      </c>
      <c r="F243" s="1">
        <v>501223065</v>
      </c>
    </row>
    <row r="244" spans="1:6" ht="13" x14ac:dyDescent="0.15">
      <c r="A244" s="3">
        <v>42052</v>
      </c>
      <c r="B244">
        <v>2096.4699999999998</v>
      </c>
      <c r="C244" s="1">
        <v>2101.3000000000002</v>
      </c>
      <c r="D244" s="1">
        <v>2089.8000000000002</v>
      </c>
      <c r="E244" s="1">
        <v>2100.34</v>
      </c>
      <c r="F244" s="1">
        <v>557220441</v>
      </c>
    </row>
    <row r="245" spans="1:6" ht="13" x14ac:dyDescent="0.15">
      <c r="A245" s="3">
        <v>42053</v>
      </c>
      <c r="B245">
        <v>2099.16</v>
      </c>
      <c r="C245" s="1">
        <v>2100.23</v>
      </c>
      <c r="D245" s="1">
        <v>2092.15</v>
      </c>
      <c r="E245" s="1">
        <v>2099.6799999999998</v>
      </c>
      <c r="F245" s="1">
        <v>458222878</v>
      </c>
    </row>
    <row r="246" spans="1:6" ht="13" x14ac:dyDescent="0.15">
      <c r="A246" s="3">
        <v>42054</v>
      </c>
      <c r="B246">
        <v>2099.25</v>
      </c>
      <c r="C246" s="1">
        <v>2102.13</v>
      </c>
      <c r="D246" s="1">
        <v>2090.79</v>
      </c>
      <c r="E246" s="1">
        <v>2097.4499999999998</v>
      </c>
      <c r="F246" s="1">
        <v>462240272</v>
      </c>
    </row>
    <row r="247" spans="1:6" ht="13" x14ac:dyDescent="0.15">
      <c r="A247" s="3">
        <v>42055</v>
      </c>
      <c r="B247">
        <v>2097.65</v>
      </c>
      <c r="C247" s="1">
        <v>2110.61</v>
      </c>
      <c r="D247" s="1">
        <v>2085.44</v>
      </c>
      <c r="E247" s="1">
        <v>2110.3000000000002</v>
      </c>
      <c r="F247" s="1">
        <v>621832126</v>
      </c>
    </row>
    <row r="248" spans="1:6" ht="13" x14ac:dyDescent="0.15">
      <c r="A248" s="3">
        <v>42058</v>
      </c>
      <c r="B248">
        <v>2109.83</v>
      </c>
      <c r="C248" s="1">
        <v>2110.0500000000002</v>
      </c>
      <c r="D248" s="1">
        <v>2103</v>
      </c>
      <c r="E248" s="1">
        <v>2109.66</v>
      </c>
      <c r="F248" s="1">
        <v>497016103</v>
      </c>
    </row>
    <row r="249" spans="1:6" ht="13" x14ac:dyDescent="0.15">
      <c r="A249" s="3">
        <v>42059</v>
      </c>
      <c r="B249">
        <v>2109.1</v>
      </c>
      <c r="C249" s="1">
        <v>2117.94</v>
      </c>
      <c r="D249" s="1">
        <v>2105.87</v>
      </c>
      <c r="E249" s="1">
        <v>2115.48</v>
      </c>
      <c r="F249" s="1">
        <v>499805150</v>
      </c>
    </row>
    <row r="250" spans="1:6" ht="13" x14ac:dyDescent="0.15">
      <c r="A250" s="3">
        <v>42060</v>
      </c>
      <c r="B250">
        <v>2115.3000000000002</v>
      </c>
      <c r="C250" s="1">
        <v>2119.59</v>
      </c>
      <c r="D250" s="1">
        <v>2109.89</v>
      </c>
      <c r="E250" s="1">
        <v>2113.86</v>
      </c>
      <c r="F250" s="1">
        <v>481020383</v>
      </c>
    </row>
    <row r="251" spans="1:6" ht="13" x14ac:dyDescent="0.15">
      <c r="A251" s="3">
        <v>42061</v>
      </c>
      <c r="B251">
        <v>2113.91</v>
      </c>
      <c r="C251" s="1">
        <v>2113.91</v>
      </c>
      <c r="D251" s="1">
        <v>2103.7600000000002</v>
      </c>
      <c r="E251" s="1">
        <v>2110.7399999999998</v>
      </c>
      <c r="F251" s="1">
        <v>504308836</v>
      </c>
    </row>
    <row r="252" spans="1:6" ht="13" x14ac:dyDescent="0.15">
      <c r="A252" s="3">
        <v>42062</v>
      </c>
      <c r="B252">
        <v>2110.88</v>
      </c>
      <c r="C252" s="1">
        <v>2112.7399999999998</v>
      </c>
      <c r="D252" s="1">
        <v>2103.75</v>
      </c>
      <c r="E252" s="1">
        <v>2104.5</v>
      </c>
      <c r="F252" s="1">
        <v>596556881</v>
      </c>
    </row>
    <row r="253" spans="1:6" ht="13" x14ac:dyDescent="0.15">
      <c r="A253" s="3">
        <v>42065</v>
      </c>
      <c r="B253">
        <v>2105.23</v>
      </c>
      <c r="C253" s="1">
        <v>2117.52</v>
      </c>
      <c r="D253" s="1">
        <v>2104.5</v>
      </c>
      <c r="E253" s="1">
        <v>2117.39</v>
      </c>
      <c r="F253" s="1">
        <v>516612174</v>
      </c>
    </row>
    <row r="254" spans="1:6" ht="13" x14ac:dyDescent="0.15">
      <c r="A254" s="3">
        <v>42066</v>
      </c>
      <c r="B254">
        <v>2115.7600000000002</v>
      </c>
      <c r="C254" s="1">
        <v>2115.7600000000002</v>
      </c>
      <c r="D254" s="1">
        <v>2098.2600000000002</v>
      </c>
      <c r="E254" s="1">
        <v>2107.7800000000002</v>
      </c>
      <c r="F254" s="1">
        <v>488593539</v>
      </c>
    </row>
    <row r="255" spans="1:6" ht="13" x14ac:dyDescent="0.15">
      <c r="A255" s="3">
        <v>42067</v>
      </c>
      <c r="B255">
        <v>2107.7199999999998</v>
      </c>
      <c r="C255" s="1">
        <v>2107.7199999999998</v>
      </c>
      <c r="D255" s="1">
        <v>2087.62</v>
      </c>
      <c r="E255" s="1">
        <v>2098.5300000000002</v>
      </c>
      <c r="F255" s="1">
        <v>489025555</v>
      </c>
    </row>
    <row r="256" spans="1:6" ht="13" x14ac:dyDescent="0.15">
      <c r="A256" s="3">
        <v>42068</v>
      </c>
      <c r="B256">
        <v>2098.54</v>
      </c>
      <c r="C256" s="1">
        <v>2104.25</v>
      </c>
      <c r="D256" s="1">
        <v>2095.2199999999998</v>
      </c>
      <c r="E256" s="1">
        <v>2101.04</v>
      </c>
      <c r="F256" s="1">
        <v>479611957</v>
      </c>
    </row>
    <row r="257" spans="1:6" ht="13" x14ac:dyDescent="0.15">
      <c r="A257" s="3">
        <v>42069</v>
      </c>
      <c r="B257">
        <v>2100.91</v>
      </c>
      <c r="C257" s="1">
        <v>2100.91</v>
      </c>
      <c r="D257" s="1">
        <v>2067.27</v>
      </c>
      <c r="E257" s="1">
        <v>2071.2600000000002</v>
      </c>
      <c r="F257" s="1">
        <v>654413604</v>
      </c>
    </row>
    <row r="258" spans="1:6" ht="13" x14ac:dyDescent="0.15">
      <c r="A258" s="3">
        <v>42072</v>
      </c>
      <c r="B258">
        <v>2072.25</v>
      </c>
      <c r="C258" s="1">
        <v>2083.4899999999998</v>
      </c>
      <c r="D258" s="1">
        <v>2072.21</v>
      </c>
      <c r="E258" s="1">
        <v>2079.4299999999998</v>
      </c>
      <c r="F258" s="1">
        <v>491672606</v>
      </c>
    </row>
    <row r="259" spans="1:6" ht="13" x14ac:dyDescent="0.15">
      <c r="A259" s="3">
        <v>42073</v>
      </c>
      <c r="B259">
        <v>2076.14</v>
      </c>
      <c r="C259" s="1">
        <v>2076.14</v>
      </c>
      <c r="D259" s="1">
        <v>2044.16</v>
      </c>
      <c r="E259" s="1">
        <v>2044.16</v>
      </c>
      <c r="F259" s="1">
        <v>618042903</v>
      </c>
    </row>
    <row r="260" spans="1:6" ht="13" x14ac:dyDescent="0.15">
      <c r="A260" s="3">
        <v>42074</v>
      </c>
      <c r="B260">
        <v>2044.69</v>
      </c>
      <c r="C260" s="1">
        <v>2050.08</v>
      </c>
      <c r="D260" s="1">
        <v>2039.69</v>
      </c>
      <c r="E260" s="1">
        <v>2040.24</v>
      </c>
      <c r="F260" s="1">
        <v>540138591</v>
      </c>
    </row>
    <row r="261" spans="1:6" ht="13" x14ac:dyDescent="0.15">
      <c r="A261" s="3">
        <v>42075</v>
      </c>
      <c r="B261">
        <v>2041.1</v>
      </c>
      <c r="C261" s="1">
        <v>2066.41</v>
      </c>
      <c r="D261" s="1">
        <v>2041.1</v>
      </c>
      <c r="E261" s="1">
        <v>2065.9499999999998</v>
      </c>
      <c r="F261" s="1">
        <v>541588132</v>
      </c>
    </row>
    <row r="262" spans="1:6" ht="13" x14ac:dyDescent="0.15">
      <c r="A262" s="3">
        <v>42076</v>
      </c>
      <c r="B262">
        <v>2064.56</v>
      </c>
      <c r="C262" s="1">
        <v>2064.56</v>
      </c>
      <c r="D262" s="1">
        <v>2041.17</v>
      </c>
      <c r="E262" s="1">
        <v>2053.4</v>
      </c>
      <c r="F262" s="1">
        <v>553445667</v>
      </c>
    </row>
    <row r="263" spans="1:6" ht="13" x14ac:dyDescent="0.15">
      <c r="A263" s="3">
        <v>42079</v>
      </c>
      <c r="B263">
        <v>2055.35</v>
      </c>
      <c r="C263" s="1">
        <v>2081.41</v>
      </c>
      <c r="D263" s="1">
        <v>2055.35</v>
      </c>
      <c r="E263" s="1">
        <v>2081.19</v>
      </c>
      <c r="F263" s="1">
        <v>541612324</v>
      </c>
    </row>
    <row r="264" spans="1:6" ht="13" x14ac:dyDescent="0.15">
      <c r="A264" s="3">
        <v>42080</v>
      </c>
      <c r="B264">
        <v>2080.59</v>
      </c>
      <c r="C264" s="1">
        <v>2080.59</v>
      </c>
      <c r="D264" s="1">
        <v>2065.08</v>
      </c>
      <c r="E264" s="1">
        <v>2074.2800000000002</v>
      </c>
      <c r="F264" s="1">
        <v>475714134</v>
      </c>
    </row>
    <row r="265" spans="1:6" ht="13" x14ac:dyDescent="0.15">
      <c r="A265" s="3">
        <v>42081</v>
      </c>
      <c r="B265">
        <v>2072.84</v>
      </c>
      <c r="C265" s="1">
        <v>2106.85</v>
      </c>
      <c r="D265" s="1">
        <v>2061.23</v>
      </c>
      <c r="E265" s="1">
        <v>2099.5</v>
      </c>
      <c r="F265" s="1">
        <v>628925946</v>
      </c>
    </row>
    <row r="266" spans="1:6" ht="13" x14ac:dyDescent="0.15">
      <c r="A266" s="3">
        <v>42082</v>
      </c>
      <c r="B266">
        <v>2098.69</v>
      </c>
      <c r="C266" s="1">
        <v>2098.69</v>
      </c>
      <c r="D266" s="1">
        <v>2085.56</v>
      </c>
      <c r="E266" s="1">
        <v>2089.27</v>
      </c>
      <c r="F266" s="1">
        <v>528262488</v>
      </c>
    </row>
    <row r="267" spans="1:6" ht="13" x14ac:dyDescent="0.15">
      <c r="A267" s="3">
        <v>42083</v>
      </c>
      <c r="B267">
        <v>2090.3200000000002</v>
      </c>
      <c r="C267" s="1">
        <v>2113.92</v>
      </c>
      <c r="D267" s="1">
        <v>2090.3200000000002</v>
      </c>
      <c r="E267" s="1">
        <v>2108.1</v>
      </c>
      <c r="F267" s="1">
        <v>487080664</v>
      </c>
    </row>
    <row r="268" spans="1:6" ht="13" x14ac:dyDescent="0.15">
      <c r="A268" s="3">
        <v>42086</v>
      </c>
      <c r="B268">
        <v>2107.9899999999998</v>
      </c>
      <c r="C268" s="1">
        <v>2114.86</v>
      </c>
      <c r="D268" s="1">
        <v>2104.42</v>
      </c>
      <c r="E268" s="1">
        <v>2104.42</v>
      </c>
      <c r="F268" s="1">
        <v>500086465</v>
      </c>
    </row>
    <row r="269" spans="1:6" ht="13" x14ac:dyDescent="0.15">
      <c r="A269" s="3">
        <v>42087</v>
      </c>
      <c r="B269">
        <v>2103.94</v>
      </c>
      <c r="C269" s="1">
        <v>2107.63</v>
      </c>
      <c r="D269" s="1">
        <v>2091.5</v>
      </c>
      <c r="E269" s="1">
        <v>2091.5</v>
      </c>
      <c r="F269" s="1">
        <v>512610880</v>
      </c>
    </row>
    <row r="270" spans="1:6" ht="13" x14ac:dyDescent="0.15">
      <c r="A270" s="3">
        <v>42088</v>
      </c>
      <c r="B270">
        <v>2093.1</v>
      </c>
      <c r="C270" s="1">
        <v>2097.4299999999998</v>
      </c>
      <c r="D270" s="1">
        <v>2061.0500000000002</v>
      </c>
      <c r="E270" s="1">
        <v>2061.0500000000002</v>
      </c>
      <c r="F270" s="1">
        <v>582073426</v>
      </c>
    </row>
    <row r="271" spans="1:6" ht="13" x14ac:dyDescent="0.15">
      <c r="A271" s="3">
        <v>42089</v>
      </c>
      <c r="B271">
        <v>2059.94</v>
      </c>
      <c r="C271" s="1">
        <v>2067.15</v>
      </c>
      <c r="D271" s="1">
        <v>2045.5</v>
      </c>
      <c r="E271" s="1">
        <v>2056.15</v>
      </c>
      <c r="F271" s="1">
        <v>619686786</v>
      </c>
    </row>
    <row r="272" spans="1:6" ht="13" x14ac:dyDescent="0.15">
      <c r="A272" s="3">
        <v>42090</v>
      </c>
      <c r="B272">
        <v>2055.7800000000002</v>
      </c>
      <c r="C272" s="1">
        <v>2062.83</v>
      </c>
      <c r="D272" s="1">
        <v>2052.96</v>
      </c>
      <c r="E272" s="1">
        <v>2061.02</v>
      </c>
      <c r="F272" s="1">
        <v>537750961</v>
      </c>
    </row>
    <row r="273" spans="1:6" ht="13" x14ac:dyDescent="0.15">
      <c r="A273" s="3">
        <v>42093</v>
      </c>
      <c r="B273">
        <v>2064.11</v>
      </c>
      <c r="C273" s="1">
        <v>2088.9699999999998</v>
      </c>
      <c r="D273" s="1">
        <v>2064.11</v>
      </c>
      <c r="E273" s="1">
        <v>2086.2399999999998</v>
      </c>
      <c r="F273" s="1">
        <v>493690723</v>
      </c>
    </row>
    <row r="274" spans="1:6" ht="13" x14ac:dyDescent="0.15">
      <c r="A274" s="3">
        <v>42094</v>
      </c>
      <c r="B274">
        <v>2084.0500000000002</v>
      </c>
      <c r="C274" s="1">
        <v>2084.0500000000002</v>
      </c>
      <c r="D274" s="1">
        <v>2067.04</v>
      </c>
      <c r="E274" s="1">
        <v>2067.89</v>
      </c>
      <c r="F274" s="1">
        <v>663987797</v>
      </c>
    </row>
    <row r="275" spans="1:6" ht="13" x14ac:dyDescent="0.15">
      <c r="A275" s="3">
        <v>42095</v>
      </c>
      <c r="B275">
        <v>2067.63</v>
      </c>
      <c r="C275" s="1">
        <v>2067.63</v>
      </c>
      <c r="D275" s="1">
        <v>2048.38</v>
      </c>
      <c r="E275" s="1">
        <v>2059.69</v>
      </c>
      <c r="F275" s="1">
        <v>564988727</v>
      </c>
    </row>
    <row r="276" spans="1:6" ht="13" x14ac:dyDescent="0.15">
      <c r="A276" s="3">
        <v>42096</v>
      </c>
      <c r="B276">
        <v>2060.0300000000002</v>
      </c>
      <c r="C276" s="1">
        <v>2072.17</v>
      </c>
      <c r="D276" s="1">
        <v>2057.3200000000002</v>
      </c>
      <c r="E276" s="1">
        <v>2066.96</v>
      </c>
      <c r="F276" s="1">
        <v>484704255</v>
      </c>
    </row>
    <row r="277" spans="1:6" ht="13" x14ac:dyDescent="0.15">
      <c r="A277" s="3">
        <v>42100</v>
      </c>
      <c r="B277">
        <v>2064.87</v>
      </c>
      <c r="C277" s="1">
        <v>2086.9899999999998</v>
      </c>
      <c r="D277" s="1">
        <v>2056.52</v>
      </c>
      <c r="E277" s="1">
        <v>2080.62</v>
      </c>
      <c r="F277" s="1">
        <v>603791492</v>
      </c>
    </row>
    <row r="278" spans="1:6" ht="13" x14ac:dyDescent="0.15">
      <c r="A278" s="3">
        <v>42101</v>
      </c>
      <c r="B278">
        <v>2080.79</v>
      </c>
      <c r="C278" s="1">
        <v>2089.81</v>
      </c>
      <c r="D278" s="1">
        <v>2076.1</v>
      </c>
      <c r="E278" s="1">
        <v>2076.33</v>
      </c>
      <c r="F278" s="1">
        <v>436475554</v>
      </c>
    </row>
    <row r="279" spans="1:6" ht="13" x14ac:dyDescent="0.15">
      <c r="A279" s="3">
        <v>42102</v>
      </c>
      <c r="B279">
        <v>2076.94</v>
      </c>
      <c r="C279" s="1">
        <v>2086.69</v>
      </c>
      <c r="D279" s="1">
        <v>2073.3000000000002</v>
      </c>
      <c r="E279" s="1">
        <v>2081.9</v>
      </c>
      <c r="F279" s="1">
        <v>488249204</v>
      </c>
    </row>
    <row r="280" spans="1:6" ht="13" x14ac:dyDescent="0.15">
      <c r="A280" s="3">
        <v>42103</v>
      </c>
      <c r="B280">
        <v>2081.29</v>
      </c>
      <c r="C280" s="1">
        <v>2093.31</v>
      </c>
      <c r="D280" s="1">
        <v>2074.29</v>
      </c>
      <c r="E280" s="1">
        <v>2091.1799999999998</v>
      </c>
      <c r="F280" s="1">
        <v>473659522</v>
      </c>
    </row>
    <row r="281" spans="1:6" ht="13" x14ac:dyDescent="0.15">
      <c r="A281" s="3">
        <v>42104</v>
      </c>
      <c r="B281">
        <v>2091.5100000000002</v>
      </c>
      <c r="C281" s="1">
        <v>2102.61</v>
      </c>
      <c r="D281" s="1">
        <v>2091.5100000000002</v>
      </c>
      <c r="E281" s="1">
        <v>2102.06</v>
      </c>
      <c r="F281" s="1">
        <v>467375544</v>
      </c>
    </row>
    <row r="282" spans="1:6" ht="13" x14ac:dyDescent="0.15">
      <c r="A282" s="3">
        <v>42107</v>
      </c>
      <c r="B282">
        <v>2102.0300000000002</v>
      </c>
      <c r="C282" s="1">
        <v>2107.65</v>
      </c>
      <c r="D282" s="1">
        <v>2092.33</v>
      </c>
      <c r="E282" s="1">
        <v>2092.4299999999998</v>
      </c>
      <c r="F282" s="1">
        <v>489876530</v>
      </c>
    </row>
    <row r="283" spans="1:6" ht="13" x14ac:dyDescent="0.15">
      <c r="A283" s="3">
        <v>42108</v>
      </c>
      <c r="B283">
        <v>2092.2800000000002</v>
      </c>
      <c r="C283" s="1">
        <v>2098.62</v>
      </c>
      <c r="D283" s="1">
        <v>2083.2399999999998</v>
      </c>
      <c r="E283" s="1">
        <v>2095.84</v>
      </c>
      <c r="F283" s="1">
        <v>449838753</v>
      </c>
    </row>
    <row r="284" spans="1:6" ht="13" x14ac:dyDescent="0.15">
      <c r="A284" s="3">
        <v>42109</v>
      </c>
      <c r="B284">
        <v>2097.8200000000002</v>
      </c>
      <c r="C284" s="1">
        <v>2111.91</v>
      </c>
      <c r="D284" s="1">
        <v>2097.8200000000002</v>
      </c>
      <c r="E284" s="1">
        <v>2106.63</v>
      </c>
      <c r="F284" s="1">
        <v>561622715</v>
      </c>
    </row>
    <row r="285" spans="1:6" ht="13" x14ac:dyDescent="0.15">
      <c r="A285" s="3">
        <v>42110</v>
      </c>
      <c r="B285">
        <v>2105.96</v>
      </c>
      <c r="C285" s="1">
        <v>2111.3000000000002</v>
      </c>
      <c r="D285" s="1">
        <v>2100.02</v>
      </c>
      <c r="E285" s="1">
        <v>2104.9899999999998</v>
      </c>
      <c r="F285" s="1">
        <v>494694374</v>
      </c>
    </row>
    <row r="286" spans="1:6" ht="13" x14ac:dyDescent="0.15">
      <c r="A286" s="3">
        <v>42111</v>
      </c>
      <c r="B286">
        <v>2102.58</v>
      </c>
      <c r="C286" s="1">
        <v>2102.58</v>
      </c>
      <c r="D286" s="1">
        <v>2072.37</v>
      </c>
      <c r="E286" s="1">
        <v>2081.1799999999998</v>
      </c>
      <c r="F286" s="1">
        <v>661794713</v>
      </c>
    </row>
    <row r="287" spans="1:6" ht="13" x14ac:dyDescent="0.15">
      <c r="A287" s="3">
        <v>42114</v>
      </c>
      <c r="B287">
        <v>2084.11</v>
      </c>
      <c r="C287" s="1">
        <v>2103.94</v>
      </c>
      <c r="D287" s="1">
        <v>2084.11</v>
      </c>
      <c r="E287" s="1">
        <v>2100.4</v>
      </c>
      <c r="F287" s="1">
        <v>481863950</v>
      </c>
    </row>
    <row r="288" spans="1:6" ht="13" x14ac:dyDescent="0.15">
      <c r="A288" s="3">
        <v>42115</v>
      </c>
      <c r="B288">
        <v>2102.8200000000002</v>
      </c>
      <c r="C288" s="1">
        <v>2109.64</v>
      </c>
      <c r="D288" s="1">
        <v>2094.38</v>
      </c>
      <c r="E288" s="1">
        <v>2097.29</v>
      </c>
      <c r="F288" s="1">
        <v>485076830</v>
      </c>
    </row>
    <row r="289" spans="1:6" ht="13" x14ac:dyDescent="0.15">
      <c r="A289" s="3">
        <v>42116</v>
      </c>
      <c r="B289">
        <v>2098.27</v>
      </c>
      <c r="C289" s="1">
        <v>2109.98</v>
      </c>
      <c r="D289" s="1">
        <v>2091.0500000000002</v>
      </c>
      <c r="E289" s="1">
        <v>2107.96</v>
      </c>
      <c r="F289" s="1">
        <v>505662373</v>
      </c>
    </row>
    <row r="290" spans="1:6" ht="13" x14ac:dyDescent="0.15">
      <c r="A290" s="3">
        <v>42117</v>
      </c>
      <c r="B290">
        <v>2107.21</v>
      </c>
      <c r="C290" s="1">
        <v>2120.4899999999998</v>
      </c>
      <c r="D290" s="1">
        <v>2103.19</v>
      </c>
      <c r="E290" s="1">
        <v>2112.9299999999998</v>
      </c>
      <c r="F290" s="1">
        <v>566843506</v>
      </c>
    </row>
    <row r="291" spans="1:6" ht="13" x14ac:dyDescent="0.15">
      <c r="A291" s="3">
        <v>42118</v>
      </c>
      <c r="B291">
        <v>2112.8000000000002</v>
      </c>
      <c r="C291" s="1">
        <v>2120.92</v>
      </c>
      <c r="D291" s="1">
        <v>2112.8000000000002</v>
      </c>
      <c r="E291" s="1">
        <v>2117.69</v>
      </c>
      <c r="F291" s="1">
        <v>555376586</v>
      </c>
    </row>
    <row r="292" spans="1:6" ht="13" x14ac:dyDescent="0.15">
      <c r="A292" s="3">
        <v>42121</v>
      </c>
      <c r="B292">
        <v>2119.29</v>
      </c>
      <c r="C292" s="1">
        <v>2125.92</v>
      </c>
      <c r="D292" s="1">
        <v>2107.04</v>
      </c>
      <c r="E292" s="1">
        <v>2108.92</v>
      </c>
      <c r="F292" s="1">
        <v>590999229</v>
      </c>
    </row>
    <row r="293" spans="1:6" ht="13" x14ac:dyDescent="0.15">
      <c r="A293" s="3">
        <v>42122</v>
      </c>
      <c r="B293">
        <v>2108.35</v>
      </c>
      <c r="C293" s="1">
        <v>2116.09</v>
      </c>
      <c r="D293" s="1">
        <v>2094.89</v>
      </c>
      <c r="E293" s="1">
        <v>2114.7600000000002</v>
      </c>
      <c r="F293" s="1">
        <v>549650994</v>
      </c>
    </row>
    <row r="294" spans="1:6" ht="13" x14ac:dyDescent="0.15">
      <c r="A294" s="3">
        <v>42123</v>
      </c>
      <c r="B294">
        <v>2112.4899999999998</v>
      </c>
      <c r="C294" s="1">
        <v>2113.65</v>
      </c>
      <c r="D294" s="1">
        <v>2097.41</v>
      </c>
      <c r="E294" s="1">
        <v>2106.85</v>
      </c>
      <c r="F294" s="1">
        <v>550784916</v>
      </c>
    </row>
    <row r="295" spans="1:6" ht="13" x14ac:dyDescent="0.15">
      <c r="A295" s="3">
        <v>42124</v>
      </c>
      <c r="B295">
        <v>2105.52</v>
      </c>
      <c r="C295" s="1">
        <v>2105.52</v>
      </c>
      <c r="D295" s="1">
        <v>2077.59</v>
      </c>
      <c r="E295" s="1">
        <v>2085.5100000000002</v>
      </c>
      <c r="F295" s="1">
        <v>686082642</v>
      </c>
    </row>
    <row r="296" spans="1:6" ht="13" x14ac:dyDescent="0.15">
      <c r="A296" s="3">
        <v>42125</v>
      </c>
      <c r="B296">
        <v>2087.38</v>
      </c>
      <c r="C296" s="1">
        <v>2108.41</v>
      </c>
      <c r="D296" s="1">
        <v>2087.38</v>
      </c>
      <c r="E296" s="1">
        <v>2108.29</v>
      </c>
      <c r="F296" s="1">
        <v>509568789</v>
      </c>
    </row>
    <row r="297" spans="1:6" ht="13" x14ac:dyDescent="0.15">
      <c r="A297" s="3">
        <v>42128</v>
      </c>
      <c r="B297">
        <v>2110.23</v>
      </c>
      <c r="C297" s="1">
        <v>2120.9499999999998</v>
      </c>
      <c r="D297" s="1">
        <v>2110.23</v>
      </c>
      <c r="E297" s="1">
        <v>2114.4899999999998</v>
      </c>
      <c r="F297" s="1">
        <v>458688406</v>
      </c>
    </row>
    <row r="298" spans="1:6" ht="13" x14ac:dyDescent="0.15">
      <c r="A298" s="3">
        <v>42129</v>
      </c>
      <c r="B298">
        <v>2112.63</v>
      </c>
      <c r="C298" s="1">
        <v>2115.2399999999998</v>
      </c>
      <c r="D298" s="1">
        <v>2088.46</v>
      </c>
      <c r="E298" s="1">
        <v>2089.46</v>
      </c>
      <c r="F298" s="1">
        <v>532113899</v>
      </c>
    </row>
    <row r="299" spans="1:6" ht="13" x14ac:dyDescent="0.15">
      <c r="A299" s="3">
        <v>42130</v>
      </c>
      <c r="B299">
        <v>2091.2600000000002</v>
      </c>
      <c r="C299" s="1">
        <v>2098.42</v>
      </c>
      <c r="D299" s="1">
        <v>2067.9299999999998</v>
      </c>
      <c r="E299" s="1">
        <v>2080.15</v>
      </c>
      <c r="F299" s="1">
        <v>552153155</v>
      </c>
    </row>
    <row r="300" spans="1:6" ht="13" x14ac:dyDescent="0.15">
      <c r="A300" s="3">
        <v>42131</v>
      </c>
      <c r="B300">
        <v>2079.96</v>
      </c>
      <c r="C300" s="1">
        <v>2092.9</v>
      </c>
      <c r="D300" s="1">
        <v>2074.9899999999998</v>
      </c>
      <c r="E300" s="1">
        <v>2088</v>
      </c>
      <c r="F300" s="1">
        <v>523758356</v>
      </c>
    </row>
    <row r="301" spans="1:6" ht="13" x14ac:dyDescent="0.15">
      <c r="A301" s="3">
        <v>42132</v>
      </c>
      <c r="B301">
        <v>2092.13</v>
      </c>
      <c r="C301" s="1">
        <v>2117.66</v>
      </c>
      <c r="D301" s="1">
        <v>2092.13</v>
      </c>
      <c r="E301" s="1">
        <v>2116.1</v>
      </c>
      <c r="F301" s="1">
        <v>524517688</v>
      </c>
    </row>
    <row r="302" spans="1:6" ht="13" x14ac:dyDescent="0.15">
      <c r="A302" s="3">
        <v>42135</v>
      </c>
      <c r="B302">
        <v>2115.56</v>
      </c>
      <c r="C302" s="1">
        <v>2117.69</v>
      </c>
      <c r="D302" s="1">
        <v>2104.58</v>
      </c>
      <c r="E302" s="1">
        <v>2105.33</v>
      </c>
      <c r="F302" s="1">
        <v>467022504</v>
      </c>
    </row>
    <row r="303" spans="1:6" ht="13" x14ac:dyDescent="0.15">
      <c r="A303" s="3">
        <v>42136</v>
      </c>
      <c r="B303">
        <v>2102.87</v>
      </c>
      <c r="C303" s="1">
        <v>2105.06</v>
      </c>
      <c r="D303" s="1">
        <v>2085.5700000000002</v>
      </c>
      <c r="E303" s="1">
        <v>2099.12</v>
      </c>
      <c r="F303" s="1">
        <v>468682965</v>
      </c>
    </row>
    <row r="304" spans="1:6" ht="13" x14ac:dyDescent="0.15">
      <c r="A304" s="3">
        <v>42137</v>
      </c>
      <c r="B304">
        <v>2099.62</v>
      </c>
      <c r="C304" s="1">
        <v>2110.19</v>
      </c>
      <c r="D304" s="1">
        <v>2096.04</v>
      </c>
      <c r="E304" s="1">
        <v>2098.48</v>
      </c>
      <c r="F304" s="1">
        <v>473510272</v>
      </c>
    </row>
    <row r="305" spans="1:6" ht="13" x14ac:dyDescent="0.15">
      <c r="A305" s="3">
        <v>42138</v>
      </c>
      <c r="B305">
        <v>2100.4299999999998</v>
      </c>
      <c r="C305" s="1">
        <v>2121.4499999999998</v>
      </c>
      <c r="D305" s="1">
        <v>2100.4299999999998</v>
      </c>
      <c r="E305" s="1">
        <v>2121.1</v>
      </c>
      <c r="F305" s="1">
        <v>477949241</v>
      </c>
    </row>
    <row r="306" spans="1:6" ht="13" x14ac:dyDescent="0.15">
      <c r="A306" s="3">
        <v>42139</v>
      </c>
      <c r="B306">
        <v>2122.0700000000002</v>
      </c>
      <c r="C306" s="1">
        <v>2123.89</v>
      </c>
      <c r="D306" s="1">
        <v>2116.79</v>
      </c>
      <c r="E306" s="1">
        <v>2122.73</v>
      </c>
      <c r="F306" s="1">
        <v>609123759</v>
      </c>
    </row>
    <row r="307" spans="1:6" ht="13" x14ac:dyDescent="0.15">
      <c r="A307" s="3">
        <v>42142</v>
      </c>
      <c r="B307">
        <v>2121.3000000000002</v>
      </c>
      <c r="C307" s="1">
        <v>2131.7800000000002</v>
      </c>
      <c r="D307" s="1">
        <v>2120.0100000000002</v>
      </c>
      <c r="E307" s="1">
        <v>2129.1999999999998</v>
      </c>
      <c r="F307" s="1">
        <v>444239990</v>
      </c>
    </row>
    <row r="308" spans="1:6" ht="13" x14ac:dyDescent="0.15">
      <c r="A308" s="3">
        <v>42143</v>
      </c>
      <c r="B308">
        <v>2129.4499999999998</v>
      </c>
      <c r="C308" s="1">
        <v>2133.02</v>
      </c>
      <c r="D308" s="1">
        <v>2124.5</v>
      </c>
      <c r="E308" s="1">
        <v>2127.83</v>
      </c>
      <c r="F308" s="1">
        <v>493349176</v>
      </c>
    </row>
    <row r="309" spans="1:6" ht="13" x14ac:dyDescent="0.15">
      <c r="A309" s="3">
        <v>42144</v>
      </c>
      <c r="B309">
        <v>2127.79</v>
      </c>
      <c r="C309" s="1">
        <v>2134.7199999999998</v>
      </c>
      <c r="D309" s="1">
        <v>2122.59</v>
      </c>
      <c r="E309" s="1">
        <v>2125.85</v>
      </c>
      <c r="F309" s="1">
        <v>477723201</v>
      </c>
    </row>
    <row r="310" spans="1:6" ht="13" x14ac:dyDescent="0.15">
      <c r="A310" s="3">
        <v>42145</v>
      </c>
      <c r="B310">
        <v>2125.5500000000002</v>
      </c>
      <c r="C310" s="1">
        <v>2134.2800000000002</v>
      </c>
      <c r="D310" s="1">
        <v>2122.9499999999998</v>
      </c>
      <c r="E310" s="1">
        <v>2130.8200000000002</v>
      </c>
      <c r="F310" s="1">
        <v>468557139</v>
      </c>
    </row>
    <row r="311" spans="1:6" ht="13" x14ac:dyDescent="0.15">
      <c r="A311" s="3">
        <v>42146</v>
      </c>
      <c r="B311">
        <v>2130.36</v>
      </c>
      <c r="C311" s="1">
        <v>2132.15</v>
      </c>
      <c r="D311" s="1">
        <v>2126.06</v>
      </c>
      <c r="E311" s="1">
        <v>2126.06</v>
      </c>
      <c r="F311" s="1">
        <v>423419513</v>
      </c>
    </row>
    <row r="312" spans="1:6" ht="13" x14ac:dyDescent="0.15">
      <c r="A312" s="3">
        <v>42150</v>
      </c>
      <c r="B312">
        <v>2125.34</v>
      </c>
      <c r="C312" s="1">
        <v>2125.34</v>
      </c>
      <c r="D312" s="1">
        <v>2099.1799999999998</v>
      </c>
      <c r="E312" s="1">
        <v>2104.1999999999998</v>
      </c>
      <c r="F312" s="1">
        <v>557833108</v>
      </c>
    </row>
    <row r="313" spans="1:6" ht="13" x14ac:dyDescent="0.15">
      <c r="A313" s="3">
        <v>42151</v>
      </c>
      <c r="B313">
        <v>2105.13</v>
      </c>
      <c r="C313" s="1">
        <v>2126.2199999999998</v>
      </c>
      <c r="D313" s="1">
        <v>2105.13</v>
      </c>
      <c r="E313" s="1">
        <v>2123.48</v>
      </c>
      <c r="F313" s="1">
        <v>511248450</v>
      </c>
    </row>
    <row r="314" spans="1:6" ht="13" x14ac:dyDescent="0.15">
      <c r="A314" s="3">
        <v>42152</v>
      </c>
      <c r="B314">
        <v>2122.27</v>
      </c>
      <c r="C314" s="1">
        <v>2122.27</v>
      </c>
      <c r="D314" s="1">
        <v>2112.86</v>
      </c>
      <c r="E314" s="1">
        <v>2120.79</v>
      </c>
      <c r="F314" s="1">
        <v>434135669</v>
      </c>
    </row>
    <row r="315" spans="1:6" ht="13" x14ac:dyDescent="0.15">
      <c r="A315" s="3">
        <v>42153</v>
      </c>
      <c r="B315">
        <v>2120.66</v>
      </c>
      <c r="C315" s="1">
        <v>2120.66</v>
      </c>
      <c r="D315" s="1">
        <v>2104.89</v>
      </c>
      <c r="E315" s="1">
        <v>2107.39</v>
      </c>
      <c r="F315" s="1">
        <v>760129761</v>
      </c>
    </row>
    <row r="316" spans="1:6" ht="13" x14ac:dyDescent="0.15">
      <c r="A316" s="3">
        <v>42156</v>
      </c>
      <c r="B316">
        <v>2108.64</v>
      </c>
      <c r="C316" s="1">
        <v>2119.15</v>
      </c>
      <c r="D316" s="1">
        <v>2102.54</v>
      </c>
      <c r="E316" s="1">
        <v>2111.73</v>
      </c>
      <c r="F316" s="1">
        <v>488083175</v>
      </c>
    </row>
    <row r="317" spans="1:6" ht="13" x14ac:dyDescent="0.15">
      <c r="A317" s="3">
        <v>42157</v>
      </c>
      <c r="B317">
        <v>2110.41</v>
      </c>
      <c r="C317" s="1">
        <v>2117.59</v>
      </c>
      <c r="D317" s="1">
        <v>2099.14</v>
      </c>
      <c r="E317" s="1">
        <v>2109.6</v>
      </c>
      <c r="F317" s="1">
        <v>471166195</v>
      </c>
    </row>
    <row r="318" spans="1:6" ht="13" x14ac:dyDescent="0.15">
      <c r="A318" s="3">
        <v>42158</v>
      </c>
      <c r="B318">
        <v>2110.64</v>
      </c>
      <c r="C318" s="1">
        <v>2121.92</v>
      </c>
      <c r="D318" s="1">
        <v>2109.61</v>
      </c>
      <c r="E318" s="1">
        <v>2114.0700000000002</v>
      </c>
      <c r="F318" s="1">
        <v>464527279</v>
      </c>
    </row>
    <row r="319" spans="1:6" ht="13" x14ac:dyDescent="0.15">
      <c r="A319" s="3">
        <v>42159</v>
      </c>
      <c r="B319">
        <v>2112.35</v>
      </c>
      <c r="C319" s="1">
        <v>2112.89</v>
      </c>
      <c r="D319" s="1">
        <v>2093.23</v>
      </c>
      <c r="E319" s="1">
        <v>2095.84</v>
      </c>
      <c r="F319" s="1">
        <v>521557720</v>
      </c>
    </row>
    <row r="320" spans="1:6" ht="13" x14ac:dyDescent="0.15">
      <c r="A320" s="3">
        <v>42160</v>
      </c>
      <c r="B320">
        <v>2095.09</v>
      </c>
      <c r="C320" s="1">
        <v>2100.9899999999998</v>
      </c>
      <c r="D320" s="1">
        <v>2085.67</v>
      </c>
      <c r="E320" s="1">
        <v>2092.83</v>
      </c>
      <c r="F320" s="1">
        <v>559311850</v>
      </c>
    </row>
    <row r="321" spans="1:6" ht="13" x14ac:dyDescent="0.15">
      <c r="A321" s="3">
        <v>42163</v>
      </c>
      <c r="B321">
        <v>2092.34</v>
      </c>
      <c r="C321" s="1">
        <v>2093.0100000000002</v>
      </c>
      <c r="D321" s="1">
        <v>2079.11</v>
      </c>
      <c r="E321" s="1">
        <v>2079.2800000000002</v>
      </c>
      <c r="F321" s="1">
        <v>488323296</v>
      </c>
    </row>
    <row r="322" spans="1:6" ht="13" x14ac:dyDescent="0.15">
      <c r="A322" s="3">
        <v>42164</v>
      </c>
      <c r="B322">
        <v>2079.0700000000002</v>
      </c>
      <c r="C322" s="1">
        <v>2085.62</v>
      </c>
      <c r="D322" s="1">
        <v>2072.14</v>
      </c>
      <c r="E322" s="1">
        <v>2080.15</v>
      </c>
      <c r="F322" s="1">
        <v>488823113</v>
      </c>
    </row>
    <row r="323" spans="1:6" ht="13" x14ac:dyDescent="0.15">
      <c r="A323" s="3">
        <v>42165</v>
      </c>
      <c r="B323">
        <v>2081.12</v>
      </c>
      <c r="C323" s="1">
        <v>2108.5</v>
      </c>
      <c r="D323" s="1">
        <v>2081.12</v>
      </c>
      <c r="E323" s="1">
        <v>2105.1999999999998</v>
      </c>
      <c r="F323" s="1">
        <v>507555252</v>
      </c>
    </row>
    <row r="324" spans="1:6" ht="13" x14ac:dyDescent="0.15">
      <c r="A324" s="3">
        <v>42166</v>
      </c>
      <c r="B324">
        <v>2106.2399999999998</v>
      </c>
      <c r="C324" s="1">
        <v>2115.02</v>
      </c>
      <c r="D324" s="1">
        <v>2106.2399999999998</v>
      </c>
      <c r="E324" s="1">
        <v>2108.86</v>
      </c>
      <c r="F324" s="1">
        <v>529774046</v>
      </c>
    </row>
    <row r="325" spans="1:6" ht="13" x14ac:dyDescent="0.15">
      <c r="A325" s="3">
        <v>42167</v>
      </c>
      <c r="B325">
        <v>2107.4299999999998</v>
      </c>
      <c r="C325" s="1">
        <v>2107.4299999999998</v>
      </c>
      <c r="D325" s="1">
        <v>2091.33</v>
      </c>
      <c r="E325" s="1">
        <v>2094.11</v>
      </c>
      <c r="F325" s="1">
        <v>449503626</v>
      </c>
    </row>
    <row r="326" spans="1:6" ht="13" x14ac:dyDescent="0.15">
      <c r="A326" s="3">
        <v>42170</v>
      </c>
      <c r="B326">
        <v>2091.34</v>
      </c>
      <c r="C326" s="1">
        <v>2091.34</v>
      </c>
      <c r="D326" s="1">
        <v>2072.4899999999998</v>
      </c>
      <c r="E326" s="1">
        <v>2084.4299999999998</v>
      </c>
      <c r="F326" s="1">
        <v>504787125</v>
      </c>
    </row>
    <row r="327" spans="1:6" ht="13" x14ac:dyDescent="0.15">
      <c r="A327" s="3">
        <v>42171</v>
      </c>
      <c r="B327">
        <v>2084.2600000000002</v>
      </c>
      <c r="C327" s="1">
        <v>2097.4</v>
      </c>
      <c r="D327" s="1">
        <v>2082.1</v>
      </c>
      <c r="E327" s="1">
        <v>2096.29</v>
      </c>
      <c r="F327" s="1">
        <v>410710293</v>
      </c>
    </row>
    <row r="328" spans="1:6" ht="13" x14ac:dyDescent="0.15">
      <c r="A328" s="3">
        <v>42172</v>
      </c>
      <c r="B328">
        <v>2097.4</v>
      </c>
      <c r="C328" s="1">
        <v>2106.79</v>
      </c>
      <c r="D328" s="1">
        <v>2088.86</v>
      </c>
      <c r="E328" s="1">
        <v>2100.44</v>
      </c>
      <c r="F328" s="1">
        <v>480805890</v>
      </c>
    </row>
    <row r="329" spans="1:6" ht="13" x14ac:dyDescent="0.15">
      <c r="A329" s="3">
        <v>42173</v>
      </c>
      <c r="B329">
        <v>2101.58</v>
      </c>
      <c r="C329" s="1">
        <v>2126.65</v>
      </c>
      <c r="D329" s="1">
        <v>2101.58</v>
      </c>
      <c r="E329" s="1">
        <v>2121.2399999999998</v>
      </c>
      <c r="F329" s="1">
        <v>544428661</v>
      </c>
    </row>
    <row r="330" spans="1:6" ht="13" x14ac:dyDescent="0.15">
      <c r="A330" s="3">
        <v>42174</v>
      </c>
      <c r="B330">
        <v>2121.0300000000002</v>
      </c>
      <c r="C330" s="1">
        <v>2121.64</v>
      </c>
      <c r="D330" s="1">
        <v>2109.38</v>
      </c>
      <c r="E330" s="1">
        <v>2109.9899999999998</v>
      </c>
      <c r="F330" s="1">
        <v>181680815</v>
      </c>
    </row>
    <row r="331" spans="1:6" ht="13" x14ac:dyDescent="0.15">
      <c r="A331" s="3">
        <v>42177</v>
      </c>
      <c r="B331">
        <v>2112.5</v>
      </c>
      <c r="C331" s="1">
        <v>2129.87</v>
      </c>
      <c r="D331" s="1">
        <v>2112.5</v>
      </c>
      <c r="E331" s="1">
        <v>2122.85</v>
      </c>
      <c r="F331" s="1">
        <v>468228023</v>
      </c>
    </row>
    <row r="332" spans="1:6" ht="13" x14ac:dyDescent="0.15">
      <c r="A332" s="3">
        <v>42178</v>
      </c>
      <c r="B332">
        <v>2123.16</v>
      </c>
      <c r="C332" s="1">
        <v>2128.0300000000002</v>
      </c>
      <c r="D332" s="1">
        <v>2119.89</v>
      </c>
      <c r="E332" s="1">
        <v>2124.1999999999998</v>
      </c>
      <c r="F332" s="1">
        <v>453115170</v>
      </c>
    </row>
    <row r="333" spans="1:6" ht="13" x14ac:dyDescent="0.15">
      <c r="A333" s="3">
        <v>42179</v>
      </c>
      <c r="B333">
        <v>2123.33</v>
      </c>
      <c r="C333" s="1">
        <v>2125.1</v>
      </c>
      <c r="D333" s="1">
        <v>2108.58</v>
      </c>
      <c r="E333" s="1">
        <v>2108.58</v>
      </c>
      <c r="F333" s="1">
        <v>534019481</v>
      </c>
    </row>
    <row r="334" spans="1:6" ht="13" x14ac:dyDescent="0.15">
      <c r="A334" s="3">
        <v>42180</v>
      </c>
      <c r="B334">
        <v>2109.96</v>
      </c>
      <c r="C334" s="1">
        <v>2116.04</v>
      </c>
      <c r="D334" s="1">
        <v>2101.7800000000002</v>
      </c>
      <c r="E334" s="1">
        <v>2102.31</v>
      </c>
      <c r="F334" s="1">
        <v>494346810</v>
      </c>
    </row>
    <row r="335" spans="1:6" ht="13" x14ac:dyDescent="0.15">
      <c r="A335" s="3">
        <v>42181</v>
      </c>
      <c r="B335">
        <v>2102.62</v>
      </c>
      <c r="C335" s="1">
        <v>2108.92</v>
      </c>
      <c r="D335" s="1">
        <v>2095.38</v>
      </c>
      <c r="E335" s="1">
        <v>2101.4899999999998</v>
      </c>
      <c r="F335" s="1">
        <v>927539503</v>
      </c>
    </row>
    <row r="336" spans="1:6" ht="13" x14ac:dyDescent="0.15">
      <c r="A336" s="3">
        <v>42184</v>
      </c>
      <c r="B336">
        <v>2098.63</v>
      </c>
      <c r="C336" s="1">
        <v>2098.63</v>
      </c>
      <c r="D336" s="1">
        <v>2056.64</v>
      </c>
      <c r="E336" s="1">
        <v>2057.64</v>
      </c>
      <c r="F336" s="1">
        <v>586955148</v>
      </c>
    </row>
    <row r="337" spans="1:6" ht="13" x14ac:dyDescent="0.15">
      <c r="A337" s="3">
        <v>42185</v>
      </c>
      <c r="B337">
        <v>2061.19</v>
      </c>
      <c r="C337" s="1">
        <v>2074.2800000000002</v>
      </c>
      <c r="D337" s="1">
        <v>2056.3200000000002</v>
      </c>
      <c r="E337" s="1">
        <v>2063.11</v>
      </c>
      <c r="F337" s="1">
        <v>717671106</v>
      </c>
    </row>
    <row r="338" spans="1:6" ht="13" x14ac:dyDescent="0.15">
      <c r="A338" s="3">
        <v>42186</v>
      </c>
      <c r="B338">
        <v>2067</v>
      </c>
      <c r="C338" s="1">
        <v>2082.7800000000002</v>
      </c>
      <c r="D338" s="1">
        <v>2067</v>
      </c>
      <c r="E338" s="1">
        <v>2077.42</v>
      </c>
      <c r="F338" s="1">
        <v>531751257</v>
      </c>
    </row>
    <row r="339" spans="1:6" ht="13" x14ac:dyDescent="0.15">
      <c r="A339" s="3">
        <v>42187</v>
      </c>
      <c r="B339">
        <v>2078.0300000000002</v>
      </c>
      <c r="C339" s="1">
        <v>2085.06</v>
      </c>
      <c r="D339" s="1">
        <v>2071.02</v>
      </c>
      <c r="E339" s="1">
        <v>2076.7800000000002</v>
      </c>
      <c r="F339" s="1">
        <v>484440239</v>
      </c>
    </row>
    <row r="340" spans="1:6" ht="13" x14ac:dyDescent="0.15">
      <c r="A340" s="3">
        <v>42191</v>
      </c>
      <c r="B340">
        <v>2073.9499999999998</v>
      </c>
      <c r="C340" s="1">
        <v>2078.61</v>
      </c>
      <c r="D340" s="1">
        <v>2058.4</v>
      </c>
      <c r="E340" s="1">
        <v>2068.7600000000002</v>
      </c>
      <c r="F340" s="1">
        <v>586209073</v>
      </c>
    </row>
    <row r="341" spans="1:6" ht="13" x14ac:dyDescent="0.15">
      <c r="A341" s="3">
        <v>42192</v>
      </c>
      <c r="B341">
        <v>2069.52</v>
      </c>
      <c r="C341" s="1">
        <v>2083.7399999999998</v>
      </c>
      <c r="D341" s="1">
        <v>2044.02</v>
      </c>
      <c r="E341" s="1">
        <v>2081.34</v>
      </c>
      <c r="F341" s="1">
        <v>624382379</v>
      </c>
    </row>
    <row r="342" spans="1:6" ht="13" x14ac:dyDescent="0.15">
      <c r="A342" s="3">
        <v>42193</v>
      </c>
      <c r="B342">
        <v>2077.66</v>
      </c>
      <c r="C342" s="1">
        <v>2077.66</v>
      </c>
      <c r="D342" s="1">
        <v>2044.66</v>
      </c>
      <c r="E342" s="1">
        <v>2046.68</v>
      </c>
      <c r="F342" s="1">
        <v>372276830</v>
      </c>
    </row>
    <row r="343" spans="1:6" ht="13" x14ac:dyDescent="0.15">
      <c r="A343" s="3">
        <v>42194</v>
      </c>
      <c r="B343">
        <v>2049.73</v>
      </c>
      <c r="C343" s="1">
        <v>2074.2800000000002</v>
      </c>
      <c r="D343" s="1">
        <v>2049.73</v>
      </c>
      <c r="E343" s="1">
        <v>2051.31</v>
      </c>
      <c r="F343" s="1">
        <v>553570988</v>
      </c>
    </row>
    <row r="344" spans="1:6" ht="13" x14ac:dyDescent="0.15">
      <c r="A344" s="3">
        <v>42195</v>
      </c>
      <c r="B344">
        <v>2052.7399999999998</v>
      </c>
      <c r="C344" s="1">
        <v>2081.31</v>
      </c>
      <c r="D344" s="1">
        <v>2052.7399999999998</v>
      </c>
      <c r="E344" s="1">
        <v>2076.62</v>
      </c>
      <c r="F344" s="1">
        <v>487492213</v>
      </c>
    </row>
    <row r="345" spans="1:6" ht="13" x14ac:dyDescent="0.15">
      <c r="A345" s="3">
        <v>42198</v>
      </c>
      <c r="B345">
        <v>2080.0300000000002</v>
      </c>
      <c r="C345" s="1">
        <v>2100.67</v>
      </c>
      <c r="D345" s="1">
        <v>2080.0300000000002</v>
      </c>
      <c r="E345" s="1">
        <v>2099.6</v>
      </c>
      <c r="F345" s="1">
        <v>504047608</v>
      </c>
    </row>
    <row r="346" spans="1:6" ht="13" x14ac:dyDescent="0.15">
      <c r="A346" s="3">
        <v>42199</v>
      </c>
      <c r="B346">
        <v>2099.7199999999998</v>
      </c>
      <c r="C346" s="1">
        <v>2111.98</v>
      </c>
      <c r="D346" s="1">
        <v>2098.1799999999998</v>
      </c>
      <c r="E346" s="1">
        <v>2108.9499999999998</v>
      </c>
      <c r="F346" s="1">
        <v>501243649</v>
      </c>
    </row>
    <row r="347" spans="1:6" ht="13" x14ac:dyDescent="0.15">
      <c r="A347" s="3">
        <v>42200</v>
      </c>
      <c r="B347">
        <v>2109.0100000000002</v>
      </c>
      <c r="C347" s="1">
        <v>2114.14</v>
      </c>
      <c r="D347" s="1">
        <v>2102.4899999999998</v>
      </c>
      <c r="E347" s="1">
        <v>2107.4</v>
      </c>
      <c r="F347" s="1">
        <v>538810633</v>
      </c>
    </row>
    <row r="348" spans="1:6" ht="13" x14ac:dyDescent="0.15">
      <c r="A348" s="3">
        <v>42201</v>
      </c>
      <c r="B348">
        <v>2110.5500000000002</v>
      </c>
      <c r="C348" s="1">
        <v>2124.42</v>
      </c>
      <c r="D348" s="1">
        <v>2110.5500000000002</v>
      </c>
      <c r="E348" s="1">
        <v>2124.29</v>
      </c>
      <c r="F348" s="1">
        <v>531489666</v>
      </c>
    </row>
    <row r="349" spans="1:6" ht="13" x14ac:dyDescent="0.15">
      <c r="A349" s="3">
        <v>42202</v>
      </c>
      <c r="B349">
        <v>2126.8000000000002</v>
      </c>
      <c r="C349" s="1">
        <v>2128.91</v>
      </c>
      <c r="D349" s="1">
        <v>2119.88</v>
      </c>
      <c r="E349" s="1">
        <v>2126.64</v>
      </c>
      <c r="F349" s="1">
        <v>626055481</v>
      </c>
    </row>
    <row r="350" spans="1:6" ht="13" x14ac:dyDescent="0.15">
      <c r="A350" s="3">
        <v>42205</v>
      </c>
      <c r="B350">
        <v>2126.85</v>
      </c>
      <c r="C350" s="1">
        <v>2132.8200000000002</v>
      </c>
      <c r="D350" s="1">
        <v>2123.65</v>
      </c>
      <c r="E350" s="1">
        <v>2128.2800000000002</v>
      </c>
      <c r="F350" s="1">
        <v>498063871</v>
      </c>
    </row>
    <row r="351" spans="1:6" ht="13" x14ac:dyDescent="0.15">
      <c r="A351" s="3">
        <v>42206</v>
      </c>
      <c r="B351">
        <v>2127.5500000000002</v>
      </c>
      <c r="C351" s="1">
        <v>2128.4899999999998</v>
      </c>
      <c r="D351" s="1">
        <v>2115.4</v>
      </c>
      <c r="E351" s="1">
        <v>2119.21</v>
      </c>
      <c r="F351" s="1">
        <v>549092745</v>
      </c>
    </row>
    <row r="352" spans="1:6" ht="13" x14ac:dyDescent="0.15">
      <c r="A352" s="3">
        <v>42207</v>
      </c>
      <c r="B352">
        <v>2118.21</v>
      </c>
      <c r="C352" s="1">
        <v>2118.5100000000002</v>
      </c>
      <c r="D352" s="1">
        <v>2110</v>
      </c>
      <c r="E352" s="1">
        <v>2114.15</v>
      </c>
      <c r="F352" s="1">
        <v>604850316</v>
      </c>
    </row>
    <row r="353" spans="1:6" ht="13" x14ac:dyDescent="0.15">
      <c r="A353" s="3">
        <v>42208</v>
      </c>
      <c r="B353">
        <v>2114.16</v>
      </c>
      <c r="C353" s="1">
        <v>2116.87</v>
      </c>
      <c r="D353" s="1">
        <v>2098.63</v>
      </c>
      <c r="E353" s="1">
        <v>2102.15</v>
      </c>
      <c r="F353" s="1">
        <v>583756482</v>
      </c>
    </row>
    <row r="354" spans="1:6" ht="13" x14ac:dyDescent="0.15">
      <c r="A354" s="3">
        <v>42209</v>
      </c>
      <c r="B354">
        <v>2102.2399999999998</v>
      </c>
      <c r="C354" s="1">
        <v>2106.0100000000002</v>
      </c>
      <c r="D354" s="1">
        <v>2077.09</v>
      </c>
      <c r="E354" s="1">
        <v>2079.65</v>
      </c>
      <c r="F354" s="1">
        <v>622862924</v>
      </c>
    </row>
    <row r="355" spans="1:6" ht="13" x14ac:dyDescent="0.15">
      <c r="A355" s="3">
        <v>42212</v>
      </c>
      <c r="B355">
        <v>2078.19</v>
      </c>
      <c r="C355" s="1">
        <v>2078.19</v>
      </c>
      <c r="D355" s="1">
        <v>2063.52</v>
      </c>
      <c r="E355" s="1">
        <v>2067.64</v>
      </c>
      <c r="F355" s="1">
        <v>658424497</v>
      </c>
    </row>
    <row r="356" spans="1:6" ht="13" x14ac:dyDescent="0.15">
      <c r="A356" s="3">
        <v>42213</v>
      </c>
      <c r="B356">
        <v>2070.75</v>
      </c>
      <c r="C356" s="1">
        <v>2095.6</v>
      </c>
      <c r="D356" s="1">
        <v>2069.09</v>
      </c>
      <c r="E356" s="1">
        <v>2093.25</v>
      </c>
      <c r="F356" s="1">
        <v>612199117</v>
      </c>
    </row>
    <row r="357" spans="1:6" ht="13" x14ac:dyDescent="0.15">
      <c r="A357" s="3">
        <v>42214</v>
      </c>
      <c r="B357">
        <v>2094.6999999999998</v>
      </c>
      <c r="C357" s="1">
        <v>2110.6</v>
      </c>
      <c r="D357" s="1">
        <v>2094.08</v>
      </c>
      <c r="E357" s="1">
        <v>2108.5700000000002</v>
      </c>
      <c r="F357" s="1">
        <v>568110723</v>
      </c>
    </row>
    <row r="358" spans="1:6" ht="13" x14ac:dyDescent="0.15">
      <c r="A358" s="3">
        <v>42215</v>
      </c>
      <c r="B358">
        <v>2106.7800000000002</v>
      </c>
      <c r="C358" s="1">
        <v>2110.48</v>
      </c>
      <c r="D358" s="1">
        <v>2094.9699999999998</v>
      </c>
      <c r="E358" s="1">
        <v>2108.63</v>
      </c>
      <c r="F358" s="1">
        <v>505302182</v>
      </c>
    </row>
    <row r="359" spans="1:6" ht="13" x14ac:dyDescent="0.15">
      <c r="A359" s="3">
        <v>42216</v>
      </c>
      <c r="B359">
        <v>2111.6</v>
      </c>
      <c r="C359" s="1">
        <v>2114.2399999999998</v>
      </c>
      <c r="D359" s="1">
        <v>2102.0700000000002</v>
      </c>
      <c r="E359" s="1">
        <v>2103.84</v>
      </c>
      <c r="F359" s="1">
        <v>639716945</v>
      </c>
    </row>
    <row r="360" spans="1:6" ht="13" x14ac:dyDescent="0.15">
      <c r="A360" s="3">
        <v>42219</v>
      </c>
      <c r="B360">
        <v>2104.4899999999998</v>
      </c>
      <c r="C360" s="1">
        <v>2105.6999999999998</v>
      </c>
      <c r="D360" s="1">
        <v>2087.31</v>
      </c>
      <c r="E360" s="1">
        <v>2098.04</v>
      </c>
      <c r="F360" s="1">
        <v>546235777</v>
      </c>
    </row>
    <row r="361" spans="1:6" ht="13" x14ac:dyDescent="0.15">
      <c r="A361" s="3">
        <v>42220</v>
      </c>
      <c r="B361">
        <v>2097.6799999999998</v>
      </c>
      <c r="C361" s="1">
        <v>2102.5100000000002</v>
      </c>
      <c r="D361" s="1">
        <v>2088.6</v>
      </c>
      <c r="E361" s="1">
        <v>2093.3200000000002</v>
      </c>
      <c r="F361" s="1">
        <v>545885014</v>
      </c>
    </row>
    <row r="362" spans="1:6" ht="13" x14ac:dyDescent="0.15">
      <c r="A362" s="3">
        <v>42221</v>
      </c>
      <c r="B362">
        <v>2095.27</v>
      </c>
      <c r="C362" s="1">
        <v>2112.66</v>
      </c>
      <c r="D362" s="1">
        <v>2095.27</v>
      </c>
      <c r="E362" s="1">
        <v>2099.84</v>
      </c>
      <c r="F362" s="1">
        <v>580780772</v>
      </c>
    </row>
    <row r="363" spans="1:6" ht="13" x14ac:dyDescent="0.15">
      <c r="A363" s="3">
        <v>42222</v>
      </c>
      <c r="B363">
        <v>2100.75</v>
      </c>
      <c r="C363" s="1">
        <v>2103.3200000000002</v>
      </c>
      <c r="D363" s="1">
        <v>2075.5300000000002</v>
      </c>
      <c r="E363" s="1">
        <v>2083.56</v>
      </c>
      <c r="F363" s="1">
        <v>611690579</v>
      </c>
    </row>
    <row r="364" spans="1:6" ht="13" x14ac:dyDescent="0.15">
      <c r="A364" s="3">
        <v>42223</v>
      </c>
      <c r="B364">
        <v>2082.61</v>
      </c>
      <c r="C364" s="1">
        <v>2082.61</v>
      </c>
      <c r="D364" s="1">
        <v>2067.91</v>
      </c>
      <c r="E364" s="1">
        <v>2077.5700000000002</v>
      </c>
      <c r="F364" s="1">
        <v>529686686</v>
      </c>
    </row>
    <row r="365" spans="1:6" ht="13" x14ac:dyDescent="0.15">
      <c r="A365" s="3">
        <v>42226</v>
      </c>
      <c r="B365">
        <v>2080.98</v>
      </c>
      <c r="C365" s="1">
        <v>2105.35</v>
      </c>
      <c r="D365" s="1">
        <v>2080.98</v>
      </c>
      <c r="E365" s="1">
        <v>2104.1799999999998</v>
      </c>
      <c r="F365" s="1">
        <v>536952747</v>
      </c>
    </row>
    <row r="366" spans="1:6" ht="13" x14ac:dyDescent="0.15">
      <c r="A366" s="3">
        <v>42227</v>
      </c>
      <c r="B366">
        <v>2102.66</v>
      </c>
      <c r="C366" s="1">
        <v>2102.66</v>
      </c>
      <c r="D366" s="1">
        <v>2076.4899999999998</v>
      </c>
      <c r="E366" s="1">
        <v>2084.0700000000002</v>
      </c>
      <c r="F366" s="1">
        <v>562080936</v>
      </c>
    </row>
    <row r="367" spans="1:6" ht="13" x14ac:dyDescent="0.15">
      <c r="A367" s="3">
        <v>42228</v>
      </c>
      <c r="B367">
        <v>2081.1</v>
      </c>
      <c r="C367" s="1">
        <v>2089.06</v>
      </c>
      <c r="D367" s="1">
        <v>2052.09</v>
      </c>
      <c r="E367" s="1">
        <v>2086.0500000000002</v>
      </c>
      <c r="F367" s="1">
        <v>632320464</v>
      </c>
    </row>
    <row r="368" spans="1:6" ht="13" x14ac:dyDescent="0.15">
      <c r="A368" s="3">
        <v>42229</v>
      </c>
      <c r="B368">
        <v>2086.19</v>
      </c>
      <c r="C368" s="1">
        <v>2092.9299999999998</v>
      </c>
      <c r="D368" s="1">
        <v>2078.2600000000002</v>
      </c>
      <c r="E368" s="1">
        <v>2083.39</v>
      </c>
      <c r="F368" s="1">
        <v>502475309</v>
      </c>
    </row>
    <row r="369" spans="1:6" ht="13" x14ac:dyDescent="0.15">
      <c r="A369" s="3">
        <v>42230</v>
      </c>
      <c r="B369">
        <v>2083.15</v>
      </c>
      <c r="C369" s="1">
        <v>2092.4499999999998</v>
      </c>
      <c r="D369" s="1">
        <v>2080.61</v>
      </c>
      <c r="E369" s="1">
        <v>2091.54</v>
      </c>
      <c r="F369" s="1">
        <v>448636523</v>
      </c>
    </row>
    <row r="370" spans="1:6" ht="13" x14ac:dyDescent="0.15">
      <c r="A370" s="3">
        <v>42233</v>
      </c>
      <c r="B370">
        <v>2089.6999999999998</v>
      </c>
      <c r="C370" s="1">
        <v>2102.87</v>
      </c>
      <c r="D370" s="1">
        <v>2079.3000000000002</v>
      </c>
      <c r="E370" s="1">
        <v>2102.44</v>
      </c>
      <c r="F370" s="1">
        <v>426042175</v>
      </c>
    </row>
    <row r="371" spans="1:6" ht="13" x14ac:dyDescent="0.15">
      <c r="A371" s="3">
        <v>42234</v>
      </c>
      <c r="B371">
        <v>2101.9899999999998</v>
      </c>
      <c r="C371" s="1">
        <v>2103.4699999999998</v>
      </c>
      <c r="D371" s="1">
        <v>2094.14</v>
      </c>
      <c r="E371" s="1">
        <v>2096.92</v>
      </c>
      <c r="F371" s="1">
        <v>444211630</v>
      </c>
    </row>
    <row r="372" spans="1:6" ht="13" x14ac:dyDescent="0.15">
      <c r="A372" s="3">
        <v>42235</v>
      </c>
      <c r="B372">
        <v>2095.69</v>
      </c>
      <c r="C372" s="1">
        <v>2096.17</v>
      </c>
      <c r="D372" s="1">
        <v>2070.5300000000002</v>
      </c>
      <c r="E372" s="1">
        <v>2079.61</v>
      </c>
      <c r="F372" s="1">
        <v>571231726</v>
      </c>
    </row>
    <row r="373" spans="1:6" ht="13" x14ac:dyDescent="0.15">
      <c r="A373" s="3">
        <v>42236</v>
      </c>
      <c r="B373">
        <v>2076.61</v>
      </c>
      <c r="C373" s="1">
        <v>2076.61</v>
      </c>
      <c r="D373" s="1">
        <v>2035.73</v>
      </c>
      <c r="E373" s="1">
        <v>2035.73</v>
      </c>
      <c r="F373" s="1">
        <v>674625605</v>
      </c>
    </row>
    <row r="374" spans="1:6" ht="13" x14ac:dyDescent="0.15">
      <c r="A374" s="3">
        <v>42237</v>
      </c>
      <c r="B374">
        <v>2034.08</v>
      </c>
      <c r="C374" s="1">
        <v>2034.08</v>
      </c>
      <c r="D374" s="1">
        <v>1970.89</v>
      </c>
      <c r="E374" s="1">
        <v>1970.89</v>
      </c>
      <c r="F374" s="1">
        <v>1064386975</v>
      </c>
    </row>
    <row r="375" spans="1:6" ht="13" x14ac:dyDescent="0.15">
      <c r="A375" s="3">
        <v>42240</v>
      </c>
      <c r="B375">
        <v>1965.15</v>
      </c>
      <c r="C375" s="1">
        <v>1965.15</v>
      </c>
      <c r="D375" s="1">
        <v>1867.01</v>
      </c>
      <c r="E375" s="1">
        <v>1893.21</v>
      </c>
      <c r="F375" s="1">
        <v>259667692</v>
      </c>
    </row>
    <row r="376" spans="1:6" ht="13" x14ac:dyDescent="0.15">
      <c r="A376" s="3">
        <v>42241</v>
      </c>
      <c r="B376">
        <v>1898.08</v>
      </c>
      <c r="C376" s="1">
        <v>1948.04</v>
      </c>
      <c r="D376" s="1">
        <v>1867.08</v>
      </c>
      <c r="E376" s="1">
        <v>1867.61</v>
      </c>
      <c r="F376" s="1">
        <v>1051285330</v>
      </c>
    </row>
    <row r="377" spans="1:6" ht="13" x14ac:dyDescent="0.15">
      <c r="A377" s="3">
        <v>42242</v>
      </c>
      <c r="B377">
        <v>1872.75</v>
      </c>
      <c r="C377" s="1">
        <v>1943.09</v>
      </c>
      <c r="D377" s="1">
        <v>1872.75</v>
      </c>
      <c r="E377" s="1">
        <v>1940.51</v>
      </c>
      <c r="F377" s="1">
        <v>1028890548</v>
      </c>
    </row>
    <row r="378" spans="1:6" ht="13" x14ac:dyDescent="0.15">
      <c r="A378" s="3">
        <v>42243</v>
      </c>
      <c r="B378">
        <v>1942.77</v>
      </c>
      <c r="C378" s="1">
        <v>1989.6</v>
      </c>
      <c r="D378" s="1">
        <v>1942.77</v>
      </c>
      <c r="E378" s="1">
        <v>1987.66</v>
      </c>
      <c r="F378" s="1">
        <v>924279973</v>
      </c>
    </row>
    <row r="379" spans="1:6" ht="13" x14ac:dyDescent="0.15">
      <c r="A379" s="3">
        <v>42244</v>
      </c>
      <c r="B379">
        <v>1986.06</v>
      </c>
      <c r="C379" s="1">
        <v>1993.48</v>
      </c>
      <c r="D379" s="1">
        <v>1975.19</v>
      </c>
      <c r="E379" s="1">
        <v>1988.87</v>
      </c>
      <c r="F379" s="1">
        <v>723484652</v>
      </c>
    </row>
    <row r="380" spans="1:6" ht="13" x14ac:dyDescent="0.15">
      <c r="A380" s="3">
        <v>42247</v>
      </c>
      <c r="B380">
        <v>1986.73</v>
      </c>
      <c r="C380" s="1">
        <v>1986.73</v>
      </c>
      <c r="D380" s="1">
        <v>1965.98</v>
      </c>
      <c r="E380" s="1">
        <v>1972.18</v>
      </c>
      <c r="F380" s="1">
        <v>764741387</v>
      </c>
    </row>
    <row r="381" spans="1:6" ht="13" x14ac:dyDescent="0.15">
      <c r="A381" s="3">
        <v>42248</v>
      </c>
      <c r="B381">
        <v>1970.09</v>
      </c>
      <c r="C381" s="1">
        <v>1970.09</v>
      </c>
      <c r="D381" s="1">
        <v>1903.07</v>
      </c>
      <c r="E381" s="1">
        <v>1913.85</v>
      </c>
      <c r="F381" s="1">
        <v>870125463</v>
      </c>
    </row>
    <row r="382" spans="1:6" ht="13" x14ac:dyDescent="0.15">
      <c r="A382" s="3">
        <v>42249</v>
      </c>
      <c r="B382">
        <v>1916.52</v>
      </c>
      <c r="C382" s="1">
        <v>1948.91</v>
      </c>
      <c r="D382" s="1">
        <v>1916.52</v>
      </c>
      <c r="E382" s="1">
        <v>1948.86</v>
      </c>
      <c r="F382" s="1">
        <v>732830759</v>
      </c>
    </row>
    <row r="383" spans="1:6" ht="13" x14ac:dyDescent="0.15">
      <c r="A383" s="3">
        <v>42250</v>
      </c>
      <c r="B383">
        <v>1950.79</v>
      </c>
      <c r="C383" s="1">
        <v>1975.01</v>
      </c>
      <c r="D383" s="1">
        <v>1944.72</v>
      </c>
      <c r="E383" s="1">
        <v>1951.13</v>
      </c>
      <c r="F383" s="1">
        <v>632699986</v>
      </c>
    </row>
    <row r="384" spans="1:6" ht="13" x14ac:dyDescent="0.15">
      <c r="A384" s="3">
        <v>42251</v>
      </c>
      <c r="B384">
        <v>1947.76</v>
      </c>
      <c r="C384" s="1">
        <v>1947.76</v>
      </c>
      <c r="D384" s="1">
        <v>1911.21</v>
      </c>
      <c r="E384" s="1">
        <v>1921.22</v>
      </c>
      <c r="F384" s="1">
        <v>665450828</v>
      </c>
    </row>
    <row r="385" spans="1:6" ht="13" x14ac:dyDescent="0.15">
      <c r="A385" s="3">
        <v>42255</v>
      </c>
      <c r="B385">
        <v>1927.3</v>
      </c>
      <c r="C385" s="1">
        <v>1970.42</v>
      </c>
      <c r="D385" s="1">
        <v>1927.3</v>
      </c>
      <c r="E385" s="1">
        <v>1969.41</v>
      </c>
      <c r="F385" s="1">
        <v>683168139</v>
      </c>
    </row>
    <row r="386" spans="1:6" ht="13" x14ac:dyDescent="0.15">
      <c r="A386" s="3">
        <v>42256</v>
      </c>
      <c r="B386">
        <v>1971.45</v>
      </c>
      <c r="C386" s="1">
        <v>1988.63</v>
      </c>
      <c r="D386" s="1">
        <v>1937.88</v>
      </c>
      <c r="E386" s="1">
        <v>1942.04</v>
      </c>
      <c r="F386" s="1">
        <v>666981166</v>
      </c>
    </row>
    <row r="387" spans="1:6" ht="13" x14ac:dyDescent="0.15">
      <c r="A387" s="3">
        <v>42257</v>
      </c>
      <c r="B387">
        <v>1941.59</v>
      </c>
      <c r="C387" s="1">
        <v>1965.29</v>
      </c>
      <c r="D387" s="1">
        <v>1937.19</v>
      </c>
      <c r="E387" s="1">
        <v>1952.29</v>
      </c>
      <c r="F387" s="1">
        <v>668618889</v>
      </c>
    </row>
    <row r="388" spans="1:6" ht="13" x14ac:dyDescent="0.15">
      <c r="A388" s="3">
        <v>42258</v>
      </c>
      <c r="B388">
        <v>1951.45</v>
      </c>
      <c r="C388" s="1">
        <v>1961.05</v>
      </c>
      <c r="D388" s="1">
        <v>1939.19</v>
      </c>
      <c r="E388" s="1">
        <v>1961.05</v>
      </c>
      <c r="F388" s="1">
        <v>589037146</v>
      </c>
    </row>
    <row r="389" spans="1:6" ht="13" x14ac:dyDescent="0.15">
      <c r="A389" s="3">
        <v>42261</v>
      </c>
      <c r="B389">
        <v>1963.06</v>
      </c>
      <c r="C389" s="1">
        <v>1963.06</v>
      </c>
      <c r="D389" s="1">
        <v>1948.27</v>
      </c>
      <c r="E389" s="1">
        <v>1953.03</v>
      </c>
      <c r="F389" s="1">
        <v>546552646</v>
      </c>
    </row>
    <row r="390" spans="1:6" ht="13" x14ac:dyDescent="0.15">
      <c r="A390" s="3">
        <v>42262</v>
      </c>
      <c r="B390">
        <v>1955.1</v>
      </c>
      <c r="C390" s="1">
        <v>1983.19</v>
      </c>
      <c r="D390" s="1">
        <v>1954.3</v>
      </c>
      <c r="E390" s="1">
        <v>1978.09</v>
      </c>
      <c r="F390" s="1">
        <v>538205710</v>
      </c>
    </row>
    <row r="391" spans="1:6" ht="13" x14ac:dyDescent="0.15">
      <c r="A391" s="3">
        <v>42263</v>
      </c>
      <c r="B391">
        <v>1978.02</v>
      </c>
      <c r="C391" s="1">
        <v>1997.26</v>
      </c>
      <c r="D391" s="1">
        <v>1977.93</v>
      </c>
      <c r="E391" s="1">
        <v>1995.31</v>
      </c>
      <c r="F391" s="1">
        <v>592020686</v>
      </c>
    </row>
    <row r="392" spans="1:6" ht="13" x14ac:dyDescent="0.15">
      <c r="A392" s="3">
        <v>42264</v>
      </c>
      <c r="B392">
        <v>1995.33</v>
      </c>
      <c r="C392" s="1">
        <v>2020.86</v>
      </c>
      <c r="D392" s="1">
        <v>1986.73</v>
      </c>
      <c r="E392" s="1">
        <v>1990.2</v>
      </c>
      <c r="F392" s="1">
        <v>704674713</v>
      </c>
    </row>
    <row r="393" spans="1:6" ht="13" x14ac:dyDescent="0.15">
      <c r="A393" s="3">
        <v>42265</v>
      </c>
      <c r="B393">
        <v>1989.66</v>
      </c>
      <c r="C393" s="1">
        <v>1989.66</v>
      </c>
      <c r="D393" s="1">
        <v>1953.45</v>
      </c>
      <c r="E393" s="1">
        <v>1958.03</v>
      </c>
      <c r="F393" s="1">
        <v>787228057</v>
      </c>
    </row>
    <row r="394" spans="1:6" ht="13" x14ac:dyDescent="0.15">
      <c r="A394" s="3">
        <v>42268</v>
      </c>
      <c r="B394">
        <v>1960.84</v>
      </c>
      <c r="C394" s="1">
        <v>1979.64</v>
      </c>
      <c r="D394" s="1">
        <v>1955.8</v>
      </c>
      <c r="E394" s="1">
        <v>1966.97</v>
      </c>
      <c r="F394" s="1">
        <v>570775068</v>
      </c>
    </row>
    <row r="395" spans="1:6" ht="13" x14ac:dyDescent="0.15">
      <c r="A395" s="3">
        <v>42269</v>
      </c>
      <c r="B395">
        <v>1961.39</v>
      </c>
      <c r="C395" s="1">
        <v>1961.39</v>
      </c>
      <c r="D395" s="1">
        <v>1929.22</v>
      </c>
      <c r="E395" s="1">
        <v>1942.74</v>
      </c>
      <c r="F395" s="1">
        <v>692587353</v>
      </c>
    </row>
    <row r="396" spans="1:6" ht="13" x14ac:dyDescent="0.15">
      <c r="A396" s="3">
        <v>42270</v>
      </c>
      <c r="B396">
        <v>1943.24</v>
      </c>
      <c r="C396" s="1">
        <v>1949.52</v>
      </c>
      <c r="D396" s="1">
        <v>1932.57</v>
      </c>
      <c r="E396" s="1">
        <v>1938.76</v>
      </c>
      <c r="F396" s="1">
        <v>505058172</v>
      </c>
    </row>
    <row r="397" spans="1:6" ht="13" x14ac:dyDescent="0.15">
      <c r="A397" s="3">
        <v>42271</v>
      </c>
      <c r="B397">
        <v>1934.81</v>
      </c>
      <c r="C397" s="1">
        <v>1937.17</v>
      </c>
      <c r="D397" s="1">
        <v>1908.92</v>
      </c>
      <c r="E397" s="1">
        <v>1932.24</v>
      </c>
      <c r="F397" s="1">
        <v>715118376</v>
      </c>
    </row>
    <row r="398" spans="1:6" ht="13" x14ac:dyDescent="0.15">
      <c r="A398" s="3">
        <v>42272</v>
      </c>
      <c r="B398">
        <v>1935.93</v>
      </c>
      <c r="C398" s="1">
        <v>1952.89</v>
      </c>
      <c r="D398" s="1">
        <v>1921.5</v>
      </c>
      <c r="E398" s="1">
        <v>1931.34</v>
      </c>
      <c r="F398" s="1">
        <v>691099595</v>
      </c>
    </row>
    <row r="399" spans="1:6" ht="13" x14ac:dyDescent="0.15">
      <c r="A399" s="3">
        <v>42275</v>
      </c>
      <c r="B399">
        <v>1929.18</v>
      </c>
      <c r="C399" s="1">
        <v>1929.18</v>
      </c>
      <c r="D399" s="1">
        <v>1879.21</v>
      </c>
      <c r="E399" s="1">
        <v>1881.77</v>
      </c>
      <c r="F399" s="1">
        <v>776043095</v>
      </c>
    </row>
    <row r="400" spans="1:6" ht="13" x14ac:dyDescent="0.15">
      <c r="A400" s="3">
        <v>42276</v>
      </c>
      <c r="B400">
        <v>1881.9</v>
      </c>
      <c r="C400" s="1">
        <v>1899.48</v>
      </c>
      <c r="D400" s="1">
        <v>1871.91</v>
      </c>
      <c r="E400" s="1">
        <v>1884.09</v>
      </c>
      <c r="F400" s="1">
        <v>735886295</v>
      </c>
    </row>
    <row r="401" spans="1:6" ht="13" x14ac:dyDescent="0.15">
      <c r="A401" s="3">
        <v>42277</v>
      </c>
      <c r="B401">
        <v>1887.14</v>
      </c>
      <c r="C401" s="1">
        <v>1920.53</v>
      </c>
      <c r="D401" s="1">
        <v>1887.14</v>
      </c>
      <c r="E401" s="1">
        <v>1920.03</v>
      </c>
      <c r="F401" s="1">
        <v>848521002</v>
      </c>
    </row>
    <row r="402" spans="1:6" ht="13" x14ac:dyDescent="0.15">
      <c r="A402" s="3">
        <v>42278</v>
      </c>
      <c r="B402">
        <v>1919.65</v>
      </c>
      <c r="C402" s="1">
        <v>1927.21</v>
      </c>
      <c r="D402" s="1">
        <v>1900.7</v>
      </c>
      <c r="E402" s="1">
        <v>1923.82</v>
      </c>
      <c r="F402" s="1">
        <v>676563545</v>
      </c>
    </row>
    <row r="403" spans="1:6" ht="13" x14ac:dyDescent="0.15">
      <c r="A403" s="3">
        <v>42279</v>
      </c>
      <c r="B403">
        <v>1921.77</v>
      </c>
      <c r="C403" s="1">
        <v>1951.36</v>
      </c>
      <c r="D403" s="1">
        <v>1893.7</v>
      </c>
      <c r="E403" s="1">
        <v>1951.36</v>
      </c>
      <c r="F403" s="1">
        <v>763255552</v>
      </c>
    </row>
    <row r="404" spans="1:6" ht="13" x14ac:dyDescent="0.15">
      <c r="A404" s="3">
        <v>42282</v>
      </c>
      <c r="B404">
        <v>1954.33</v>
      </c>
      <c r="C404" s="1">
        <v>1989.17</v>
      </c>
      <c r="D404" s="1">
        <v>1954.33</v>
      </c>
      <c r="E404" s="1">
        <v>1987.05</v>
      </c>
      <c r="F404" s="1">
        <v>725881817</v>
      </c>
    </row>
    <row r="405" spans="1:6" ht="13" x14ac:dyDescent="0.15">
      <c r="A405" s="3">
        <v>42283</v>
      </c>
      <c r="B405">
        <v>1986.63</v>
      </c>
      <c r="C405" s="1">
        <v>1991.62</v>
      </c>
      <c r="D405" s="1">
        <v>1971.99</v>
      </c>
      <c r="E405" s="1">
        <v>1979.92</v>
      </c>
      <c r="F405" s="1">
        <v>679866164</v>
      </c>
    </row>
    <row r="406" spans="1:6" ht="13" x14ac:dyDescent="0.15">
      <c r="A406" s="3">
        <v>42284</v>
      </c>
      <c r="B406">
        <v>1982.34</v>
      </c>
      <c r="C406" s="1">
        <v>1999.31</v>
      </c>
      <c r="D406" s="1">
        <v>1976.44</v>
      </c>
      <c r="E406" s="1">
        <v>1995.83</v>
      </c>
      <c r="F406" s="1">
        <v>735394471</v>
      </c>
    </row>
    <row r="407" spans="1:6" ht="13" x14ac:dyDescent="0.15">
      <c r="A407" s="3">
        <v>42285</v>
      </c>
      <c r="B407">
        <v>1994.01</v>
      </c>
      <c r="C407" s="1">
        <v>2016.5</v>
      </c>
      <c r="D407" s="1">
        <v>1987.53</v>
      </c>
      <c r="E407" s="1">
        <v>2013.43</v>
      </c>
      <c r="F407" s="1">
        <v>604478359</v>
      </c>
    </row>
    <row r="408" spans="1:6" ht="13" x14ac:dyDescent="0.15">
      <c r="A408" s="3">
        <v>42286</v>
      </c>
      <c r="B408">
        <v>2013.73</v>
      </c>
      <c r="C408" s="1">
        <v>2020.13</v>
      </c>
      <c r="D408" s="1">
        <v>2007.61</v>
      </c>
      <c r="E408" s="1">
        <v>2014.89</v>
      </c>
      <c r="F408" s="1">
        <v>623423601</v>
      </c>
    </row>
    <row r="409" spans="1:6" ht="13" x14ac:dyDescent="0.15">
      <c r="A409" s="3">
        <v>42289</v>
      </c>
      <c r="B409">
        <v>2015.65</v>
      </c>
      <c r="C409" s="1">
        <v>2018.66</v>
      </c>
      <c r="D409" s="1">
        <v>2010.55</v>
      </c>
      <c r="E409" s="1">
        <v>2017.46</v>
      </c>
      <c r="F409" s="1">
        <v>464138958</v>
      </c>
    </row>
    <row r="410" spans="1:6" ht="13" x14ac:dyDescent="0.15">
      <c r="A410" s="3">
        <v>42290</v>
      </c>
      <c r="B410">
        <v>2015</v>
      </c>
      <c r="C410" s="1">
        <v>2022.34</v>
      </c>
      <c r="D410" s="1">
        <v>2001.78</v>
      </c>
      <c r="E410" s="1">
        <v>2003.69</v>
      </c>
      <c r="F410" s="1">
        <v>567343893</v>
      </c>
    </row>
    <row r="411" spans="1:6" ht="13" x14ac:dyDescent="0.15">
      <c r="A411" s="3">
        <v>42291</v>
      </c>
      <c r="B411">
        <v>2003.66</v>
      </c>
      <c r="C411" s="1">
        <v>2009.56</v>
      </c>
      <c r="D411" s="1">
        <v>1990.73</v>
      </c>
      <c r="E411" s="1">
        <v>1994.24</v>
      </c>
      <c r="F411" s="1">
        <v>629947986</v>
      </c>
    </row>
    <row r="412" spans="1:6" ht="13" x14ac:dyDescent="0.15">
      <c r="A412" s="3">
        <v>42292</v>
      </c>
      <c r="B412">
        <v>1996.47</v>
      </c>
      <c r="C412" s="1">
        <v>2024.15</v>
      </c>
      <c r="D412" s="1">
        <v>1996.47</v>
      </c>
      <c r="E412" s="1">
        <v>2023.86</v>
      </c>
      <c r="F412" s="1">
        <v>671059272</v>
      </c>
    </row>
    <row r="413" spans="1:6" ht="13" x14ac:dyDescent="0.15">
      <c r="A413" s="3">
        <v>42293</v>
      </c>
      <c r="B413">
        <v>2024.37</v>
      </c>
      <c r="C413" s="1">
        <v>2033.54</v>
      </c>
      <c r="D413" s="1">
        <v>2020.46</v>
      </c>
      <c r="E413" s="1">
        <v>2033.11</v>
      </c>
      <c r="F413" s="1">
        <v>711470641</v>
      </c>
    </row>
    <row r="414" spans="1:6" ht="13" x14ac:dyDescent="0.15">
      <c r="A414" s="3">
        <v>42296</v>
      </c>
      <c r="B414">
        <v>2031.73</v>
      </c>
      <c r="C414" s="1">
        <v>2034.45</v>
      </c>
      <c r="D414" s="1">
        <v>2022.31</v>
      </c>
      <c r="E414" s="1">
        <v>2033.66</v>
      </c>
      <c r="F414" s="1">
        <v>600551881</v>
      </c>
    </row>
    <row r="415" spans="1:6" ht="13" x14ac:dyDescent="0.15">
      <c r="A415" s="3">
        <v>42297</v>
      </c>
      <c r="B415">
        <v>2033.13</v>
      </c>
      <c r="C415" s="1">
        <v>2039.12</v>
      </c>
      <c r="D415" s="1">
        <v>2026.61</v>
      </c>
      <c r="E415" s="1">
        <v>2030.77</v>
      </c>
      <c r="F415" s="1">
        <v>563655848</v>
      </c>
    </row>
    <row r="416" spans="1:6" ht="13" x14ac:dyDescent="0.15">
      <c r="A416" s="3">
        <v>42298</v>
      </c>
      <c r="B416">
        <v>2033.47</v>
      </c>
      <c r="C416" s="1">
        <v>2037.97</v>
      </c>
      <c r="D416" s="1">
        <v>2017.22</v>
      </c>
      <c r="E416" s="1">
        <v>2018.94</v>
      </c>
      <c r="F416" s="1">
        <v>610204136</v>
      </c>
    </row>
    <row r="417" spans="1:6" ht="13" x14ac:dyDescent="0.15">
      <c r="A417" s="3">
        <v>42299</v>
      </c>
      <c r="B417">
        <v>2021.88</v>
      </c>
      <c r="C417" s="1">
        <v>2055.1999999999998</v>
      </c>
      <c r="D417" s="1">
        <v>2021.88</v>
      </c>
      <c r="E417" s="1">
        <v>2052.5100000000002</v>
      </c>
      <c r="F417" s="1">
        <v>786028633</v>
      </c>
    </row>
    <row r="418" spans="1:6" ht="13" x14ac:dyDescent="0.15">
      <c r="A418" s="3">
        <v>42300</v>
      </c>
      <c r="B418">
        <v>2058.19</v>
      </c>
      <c r="C418" s="1">
        <v>2079.7399999999998</v>
      </c>
      <c r="D418" s="1">
        <v>2058.19</v>
      </c>
      <c r="E418" s="1">
        <v>2075.15</v>
      </c>
      <c r="F418" s="1">
        <v>745335577</v>
      </c>
    </row>
    <row r="419" spans="1:6" ht="13" x14ac:dyDescent="0.15">
      <c r="A419" s="3">
        <v>42303</v>
      </c>
      <c r="B419">
        <v>2075.08</v>
      </c>
      <c r="C419" s="1">
        <v>2075.14</v>
      </c>
      <c r="D419" s="1">
        <v>2066.5300000000002</v>
      </c>
      <c r="E419" s="1">
        <v>2071.1799999999998</v>
      </c>
      <c r="F419" s="1">
        <v>602332322</v>
      </c>
    </row>
    <row r="420" spans="1:6" ht="13" x14ac:dyDescent="0.15">
      <c r="A420" s="3">
        <v>42304</v>
      </c>
      <c r="B420">
        <v>2068.75</v>
      </c>
      <c r="C420" s="1">
        <v>2070.37</v>
      </c>
      <c r="D420" s="1">
        <v>2058.84</v>
      </c>
      <c r="E420" s="1">
        <v>2065.89</v>
      </c>
      <c r="F420" s="1">
        <v>650112593</v>
      </c>
    </row>
    <row r="421" spans="1:6" ht="13" x14ac:dyDescent="0.15">
      <c r="A421" s="3">
        <v>42305</v>
      </c>
      <c r="B421">
        <v>2066.48</v>
      </c>
      <c r="C421" s="1">
        <v>2090.35</v>
      </c>
      <c r="D421" s="1">
        <v>2063.11</v>
      </c>
      <c r="E421" s="1">
        <v>2090.35</v>
      </c>
      <c r="F421" s="1">
        <v>660968318</v>
      </c>
    </row>
    <row r="422" spans="1:6" ht="13" x14ac:dyDescent="0.15">
      <c r="A422" s="3">
        <v>42306</v>
      </c>
      <c r="B422">
        <v>2088.35</v>
      </c>
      <c r="C422" s="1">
        <v>2092.52</v>
      </c>
      <c r="D422" s="1">
        <v>2082.63</v>
      </c>
      <c r="E422" s="1">
        <v>2089.41</v>
      </c>
      <c r="F422" s="1">
        <v>549091191</v>
      </c>
    </row>
    <row r="423" spans="1:6" ht="13" x14ac:dyDescent="0.15">
      <c r="A423" s="3">
        <v>42307</v>
      </c>
      <c r="B423">
        <v>2090</v>
      </c>
      <c r="C423" s="1">
        <v>2094.3200000000002</v>
      </c>
      <c r="D423" s="1">
        <v>2079.34</v>
      </c>
      <c r="E423" s="1">
        <v>2079.36</v>
      </c>
      <c r="F423" s="1">
        <v>789097525</v>
      </c>
    </row>
    <row r="424" spans="1:6" ht="13" x14ac:dyDescent="0.15">
      <c r="A424" s="3">
        <v>42310</v>
      </c>
      <c r="B424">
        <v>2080.7600000000002</v>
      </c>
      <c r="C424" s="1">
        <v>2106.1999999999998</v>
      </c>
      <c r="D424" s="1">
        <v>2080.7600000000002</v>
      </c>
      <c r="E424" s="1">
        <v>2104.0500000000002</v>
      </c>
      <c r="F424" s="1">
        <v>579601950</v>
      </c>
    </row>
    <row r="425" spans="1:6" ht="13" x14ac:dyDescent="0.15">
      <c r="A425" s="3">
        <v>42311</v>
      </c>
      <c r="B425">
        <v>2102.63</v>
      </c>
      <c r="C425" s="1">
        <v>2116.48</v>
      </c>
      <c r="D425" s="1">
        <v>2097.5100000000002</v>
      </c>
      <c r="E425" s="1">
        <v>2109.79</v>
      </c>
      <c r="F425" s="1">
        <v>588205970</v>
      </c>
    </row>
    <row r="426" spans="1:6" ht="13" x14ac:dyDescent="0.15">
      <c r="A426" s="3">
        <v>42312</v>
      </c>
      <c r="B426">
        <v>2110.6</v>
      </c>
      <c r="C426" s="1">
        <v>2114.59</v>
      </c>
      <c r="D426" s="1">
        <v>2096.98</v>
      </c>
      <c r="E426" s="1">
        <v>2102.31</v>
      </c>
      <c r="F426" s="1">
        <v>615424681</v>
      </c>
    </row>
    <row r="427" spans="1:6" ht="13" x14ac:dyDescent="0.15">
      <c r="A427" s="3">
        <v>42313</v>
      </c>
      <c r="B427">
        <v>2101.6799999999998</v>
      </c>
      <c r="C427" s="1">
        <v>2108.7800000000002</v>
      </c>
      <c r="D427" s="1">
        <v>2090.41</v>
      </c>
      <c r="E427" s="1">
        <v>2099.9299999999998</v>
      </c>
      <c r="F427" s="1">
        <v>589737116</v>
      </c>
    </row>
    <row r="428" spans="1:6" ht="13" x14ac:dyDescent="0.15">
      <c r="A428" s="3">
        <v>42314</v>
      </c>
      <c r="B428">
        <v>2098.6</v>
      </c>
      <c r="C428" s="1">
        <v>2101.91</v>
      </c>
      <c r="D428" s="1">
        <v>2083.7399999999998</v>
      </c>
      <c r="E428" s="1">
        <v>2099.1999999999998</v>
      </c>
      <c r="F428" s="1">
        <v>661105431</v>
      </c>
    </row>
    <row r="429" spans="1:6" ht="13" x14ac:dyDescent="0.15">
      <c r="A429" s="3">
        <v>42317</v>
      </c>
      <c r="B429">
        <v>2096.56</v>
      </c>
      <c r="C429" s="1">
        <v>2096.56</v>
      </c>
      <c r="D429" s="1">
        <v>2068.2399999999998</v>
      </c>
      <c r="E429" s="1">
        <v>2078.58</v>
      </c>
      <c r="F429" s="1">
        <v>664847995</v>
      </c>
    </row>
    <row r="430" spans="1:6" ht="13" x14ac:dyDescent="0.15">
      <c r="A430" s="3">
        <v>42318</v>
      </c>
      <c r="B430">
        <v>2077.19</v>
      </c>
      <c r="C430" s="1">
        <v>2083.67</v>
      </c>
      <c r="D430" s="1">
        <v>2069.91</v>
      </c>
      <c r="E430" s="1">
        <v>2081.7199999999998</v>
      </c>
      <c r="F430" s="1">
        <v>564878625</v>
      </c>
    </row>
    <row r="431" spans="1:6" ht="13" x14ac:dyDescent="0.15">
      <c r="A431" s="3">
        <v>42319</v>
      </c>
      <c r="B431">
        <v>2083.41</v>
      </c>
      <c r="C431" s="1">
        <v>2086.94</v>
      </c>
      <c r="D431" s="1">
        <v>2074.85</v>
      </c>
      <c r="E431" s="1">
        <v>2075</v>
      </c>
      <c r="F431" s="1">
        <v>511666901</v>
      </c>
    </row>
    <row r="432" spans="1:6" ht="13" x14ac:dyDescent="0.15">
      <c r="A432" s="3">
        <v>42320</v>
      </c>
      <c r="B432">
        <v>2072.29</v>
      </c>
      <c r="C432" s="1">
        <v>2072.29</v>
      </c>
      <c r="D432" s="1">
        <v>2045.66</v>
      </c>
      <c r="E432" s="1">
        <v>2045.97</v>
      </c>
      <c r="F432" s="1">
        <v>573865618</v>
      </c>
    </row>
    <row r="433" spans="1:6" ht="13" x14ac:dyDescent="0.15">
      <c r="A433" s="3">
        <v>42321</v>
      </c>
      <c r="B433">
        <v>2044.64</v>
      </c>
      <c r="C433" s="1">
        <v>2044.64</v>
      </c>
      <c r="D433" s="1">
        <v>2022.02</v>
      </c>
      <c r="E433" s="1">
        <v>2023.04</v>
      </c>
      <c r="F433" s="1">
        <v>652851199</v>
      </c>
    </row>
    <row r="434" spans="1:6" ht="13" x14ac:dyDescent="0.15">
      <c r="A434" s="3">
        <v>42324</v>
      </c>
      <c r="B434">
        <v>2022.08</v>
      </c>
      <c r="C434" s="1">
        <v>2053.2199999999998</v>
      </c>
      <c r="D434" s="1">
        <v>2019.39</v>
      </c>
      <c r="E434" s="1">
        <v>2053.19</v>
      </c>
      <c r="F434" s="1">
        <v>607470471</v>
      </c>
    </row>
    <row r="435" spans="1:6" ht="13" x14ac:dyDescent="0.15">
      <c r="A435" s="3">
        <v>42325</v>
      </c>
      <c r="B435">
        <v>2053.67</v>
      </c>
      <c r="C435" s="1">
        <v>2066.69</v>
      </c>
      <c r="D435" s="1">
        <v>2045.9</v>
      </c>
      <c r="E435" s="1">
        <v>2050.44</v>
      </c>
      <c r="F435" s="1">
        <v>677184030</v>
      </c>
    </row>
    <row r="436" spans="1:6" ht="13" x14ac:dyDescent="0.15">
      <c r="A436" s="3">
        <v>42326</v>
      </c>
      <c r="B436">
        <v>2051.9899999999998</v>
      </c>
      <c r="C436" s="1">
        <v>2085.31</v>
      </c>
      <c r="D436" s="1">
        <v>2051.9899999999998</v>
      </c>
      <c r="E436" s="1">
        <v>2083.58</v>
      </c>
      <c r="F436" s="1">
        <v>608652201</v>
      </c>
    </row>
    <row r="437" spans="1:6" ht="13" x14ac:dyDescent="0.15">
      <c r="A437" s="3">
        <v>42327</v>
      </c>
      <c r="B437">
        <v>2083.6999999999998</v>
      </c>
      <c r="C437" s="1">
        <v>2086.7399999999998</v>
      </c>
      <c r="D437" s="1">
        <v>2078.7600000000002</v>
      </c>
      <c r="E437" s="1">
        <v>2081.2399999999998</v>
      </c>
      <c r="F437" s="1">
        <v>536851932</v>
      </c>
    </row>
    <row r="438" spans="1:6" ht="13" x14ac:dyDescent="0.15">
      <c r="A438" s="3">
        <v>42328</v>
      </c>
      <c r="B438">
        <v>2082.8200000000002</v>
      </c>
      <c r="C438" s="1">
        <v>2097.06</v>
      </c>
      <c r="D438" s="1">
        <v>2082.8200000000002</v>
      </c>
      <c r="E438" s="1">
        <v>2089.17</v>
      </c>
      <c r="F438" s="1">
        <v>689172913</v>
      </c>
    </row>
    <row r="439" spans="1:6" ht="13" x14ac:dyDescent="0.15">
      <c r="A439" s="3">
        <v>42331</v>
      </c>
      <c r="B439">
        <v>2089.41</v>
      </c>
      <c r="C439" s="1">
        <v>2095.61</v>
      </c>
      <c r="D439" s="1">
        <v>2081.39</v>
      </c>
      <c r="E439" s="1">
        <v>2086.59</v>
      </c>
      <c r="F439" s="1">
        <v>571414251</v>
      </c>
    </row>
    <row r="440" spans="1:6" ht="13" x14ac:dyDescent="0.15">
      <c r="A440" s="3">
        <v>42332</v>
      </c>
      <c r="B440">
        <v>2084.42</v>
      </c>
      <c r="C440" s="1">
        <v>2094.12</v>
      </c>
      <c r="D440" s="1">
        <v>2070.29</v>
      </c>
      <c r="E440" s="1">
        <v>2089.14</v>
      </c>
      <c r="F440" s="1">
        <v>607006689</v>
      </c>
    </row>
    <row r="441" spans="1:6" ht="13" x14ac:dyDescent="0.15">
      <c r="A441" s="3">
        <v>42333</v>
      </c>
      <c r="B441">
        <v>2089.3000000000002</v>
      </c>
      <c r="C441" s="1">
        <v>2093</v>
      </c>
      <c r="D441" s="1">
        <v>2086.3000000000002</v>
      </c>
      <c r="E441" s="1">
        <v>2088.87</v>
      </c>
      <c r="F441" s="1">
        <v>440227053</v>
      </c>
    </row>
    <row r="442" spans="1:6" ht="13" x14ac:dyDescent="0.15">
      <c r="A442" s="3">
        <v>42335</v>
      </c>
      <c r="B442">
        <v>2088.8200000000002</v>
      </c>
      <c r="C442" s="1">
        <v>2093.29</v>
      </c>
      <c r="D442" s="1">
        <v>2084.13</v>
      </c>
      <c r="E442" s="1">
        <v>2090.11</v>
      </c>
      <c r="F442" s="1">
        <v>240297214</v>
      </c>
    </row>
    <row r="443" spans="1:6" ht="13" x14ac:dyDescent="0.15">
      <c r="A443" s="3">
        <v>42338</v>
      </c>
      <c r="B443">
        <v>2090.9499999999998</v>
      </c>
      <c r="C443" s="1">
        <v>2093.81</v>
      </c>
      <c r="D443" s="1">
        <v>2080.41</v>
      </c>
      <c r="E443" s="1">
        <v>2080.41</v>
      </c>
      <c r="F443" s="1">
        <v>818038598</v>
      </c>
    </row>
    <row r="444" spans="1:6" ht="13" x14ac:dyDescent="0.15">
      <c r="A444" s="3">
        <v>42339</v>
      </c>
      <c r="B444">
        <v>2082.9299999999998</v>
      </c>
      <c r="C444" s="1">
        <v>2103.37</v>
      </c>
      <c r="D444" s="1">
        <v>2082.9299999999998</v>
      </c>
      <c r="E444" s="1">
        <v>2102.63</v>
      </c>
      <c r="F444" s="1">
        <v>591053709</v>
      </c>
    </row>
    <row r="445" spans="1:6" ht="13" x14ac:dyDescent="0.15">
      <c r="A445" s="3">
        <v>42340</v>
      </c>
      <c r="B445">
        <v>2101.71</v>
      </c>
      <c r="C445" s="1">
        <v>2104.27</v>
      </c>
      <c r="D445" s="1">
        <v>2077.11</v>
      </c>
      <c r="E445" s="1">
        <v>2079.5100000000002</v>
      </c>
      <c r="F445" s="1">
        <v>615433393</v>
      </c>
    </row>
    <row r="446" spans="1:6" ht="13" x14ac:dyDescent="0.15">
      <c r="A446" s="3">
        <v>42341</v>
      </c>
      <c r="B446">
        <v>2080.71</v>
      </c>
      <c r="C446" s="1">
        <v>2085</v>
      </c>
      <c r="D446" s="1">
        <v>2042.35</v>
      </c>
      <c r="E446" s="1">
        <v>2049.62</v>
      </c>
      <c r="F446" s="1">
        <v>749534853</v>
      </c>
    </row>
    <row r="447" spans="1:6" ht="13" x14ac:dyDescent="0.15">
      <c r="A447" s="3">
        <v>42342</v>
      </c>
      <c r="B447">
        <v>2051.2399999999998</v>
      </c>
      <c r="C447" s="1">
        <v>2093.84</v>
      </c>
      <c r="D447" s="1">
        <v>2051.2399999999998</v>
      </c>
      <c r="E447" s="1">
        <v>2091.69</v>
      </c>
      <c r="F447" s="1">
        <v>740000496</v>
      </c>
    </row>
    <row r="448" spans="1:6" ht="13" x14ac:dyDescent="0.15">
      <c r="A448" s="3">
        <v>42345</v>
      </c>
      <c r="B448">
        <v>2090.42</v>
      </c>
      <c r="C448" s="1">
        <v>2090.42</v>
      </c>
      <c r="D448" s="1">
        <v>2066.7800000000002</v>
      </c>
      <c r="E448" s="1">
        <v>2077.0700000000002</v>
      </c>
      <c r="F448" s="1">
        <v>639169032</v>
      </c>
    </row>
    <row r="449" spans="1:6" ht="13" x14ac:dyDescent="0.15">
      <c r="A449" s="3">
        <v>42346</v>
      </c>
      <c r="B449">
        <v>2073.39</v>
      </c>
      <c r="C449" s="1">
        <v>2073.85</v>
      </c>
      <c r="D449" s="1">
        <v>2052.3200000000002</v>
      </c>
      <c r="E449" s="1">
        <v>2063.59</v>
      </c>
      <c r="F449" s="1">
        <v>666623202</v>
      </c>
    </row>
    <row r="450" spans="1:6" ht="13" x14ac:dyDescent="0.15">
      <c r="A450" s="3">
        <v>42347</v>
      </c>
      <c r="B450">
        <v>2061.17</v>
      </c>
      <c r="C450" s="1">
        <v>2080.33</v>
      </c>
      <c r="D450" s="1">
        <v>2036.53</v>
      </c>
      <c r="E450" s="1">
        <v>2047.62</v>
      </c>
      <c r="F450" s="1">
        <v>719904950</v>
      </c>
    </row>
    <row r="451" spans="1:6" ht="13" x14ac:dyDescent="0.15">
      <c r="A451" s="3">
        <v>42348</v>
      </c>
      <c r="B451">
        <v>2047.93</v>
      </c>
      <c r="C451" s="1">
        <v>2067.65</v>
      </c>
      <c r="D451" s="1">
        <v>2045.67</v>
      </c>
      <c r="E451" s="1">
        <v>2052.23</v>
      </c>
      <c r="F451" s="1">
        <v>597997497</v>
      </c>
    </row>
    <row r="452" spans="1:6" ht="13" x14ac:dyDescent="0.15">
      <c r="A452" s="3">
        <v>42349</v>
      </c>
      <c r="B452">
        <v>2047.27</v>
      </c>
      <c r="C452" s="1">
        <v>2047.27</v>
      </c>
      <c r="D452" s="1">
        <v>2008.8</v>
      </c>
      <c r="E452" s="1">
        <v>2012.37</v>
      </c>
      <c r="F452" s="1">
        <v>718417683</v>
      </c>
    </row>
    <row r="453" spans="1:6" ht="13" x14ac:dyDescent="0.15">
      <c r="A453" s="3">
        <v>42352</v>
      </c>
      <c r="B453">
        <v>2013.37</v>
      </c>
      <c r="C453" s="1">
        <v>2022.92</v>
      </c>
      <c r="D453" s="1">
        <v>1993.26</v>
      </c>
      <c r="E453" s="1">
        <v>2021.94</v>
      </c>
      <c r="F453" s="1">
        <v>771571435</v>
      </c>
    </row>
    <row r="454" spans="1:6" ht="13" x14ac:dyDescent="0.15">
      <c r="A454" s="3">
        <v>42353</v>
      </c>
      <c r="B454">
        <v>2025.55</v>
      </c>
      <c r="C454" s="1">
        <v>2053.87</v>
      </c>
      <c r="D454" s="1">
        <v>2025.55</v>
      </c>
      <c r="E454" s="1">
        <v>2043.41</v>
      </c>
      <c r="F454" s="1">
        <v>689853132</v>
      </c>
    </row>
    <row r="455" spans="1:6" ht="13" x14ac:dyDescent="0.15">
      <c r="A455" s="3">
        <v>42354</v>
      </c>
      <c r="B455">
        <v>2046.5</v>
      </c>
      <c r="C455" s="1">
        <v>2076.7199999999998</v>
      </c>
      <c r="D455" s="1">
        <v>2042.43</v>
      </c>
      <c r="E455" s="1">
        <v>2073.0700000000002</v>
      </c>
      <c r="F455" s="1">
        <v>680651840</v>
      </c>
    </row>
    <row r="456" spans="1:6" ht="13" x14ac:dyDescent="0.15">
      <c r="A456" s="3">
        <v>42355</v>
      </c>
      <c r="B456">
        <v>2073.7600000000002</v>
      </c>
      <c r="C456" s="1">
        <v>2076.37</v>
      </c>
      <c r="D456" s="1">
        <v>2041.66</v>
      </c>
      <c r="E456" s="1">
        <v>2041.89</v>
      </c>
      <c r="F456" s="1">
        <v>646285876</v>
      </c>
    </row>
    <row r="457" spans="1:6" ht="13" x14ac:dyDescent="0.15">
      <c r="A457" s="3">
        <v>42356</v>
      </c>
      <c r="B457">
        <v>2040.81</v>
      </c>
      <c r="C457" s="1">
        <v>2040.81</v>
      </c>
      <c r="D457" s="1">
        <v>2005.33</v>
      </c>
      <c r="E457" s="1">
        <v>2005.55</v>
      </c>
      <c r="F457" s="1">
        <v>737827389</v>
      </c>
    </row>
    <row r="458" spans="1:6" ht="13" x14ac:dyDescent="0.15">
      <c r="A458" s="3">
        <v>42359</v>
      </c>
      <c r="B458">
        <v>2010.27</v>
      </c>
      <c r="C458" s="1">
        <v>2022.9</v>
      </c>
      <c r="D458" s="1">
        <v>2005.93</v>
      </c>
      <c r="E458" s="1">
        <v>2021.15</v>
      </c>
      <c r="F458" s="1">
        <v>610294061</v>
      </c>
    </row>
    <row r="459" spans="1:6" ht="13" x14ac:dyDescent="0.15">
      <c r="A459" s="3">
        <v>42360</v>
      </c>
      <c r="B459">
        <v>2023.15</v>
      </c>
      <c r="C459" s="1">
        <v>2042.74</v>
      </c>
      <c r="D459" s="1">
        <v>2020.49</v>
      </c>
      <c r="E459" s="1">
        <v>2038.97</v>
      </c>
      <c r="F459" s="1">
        <v>546862689</v>
      </c>
    </row>
    <row r="460" spans="1:6" ht="13" x14ac:dyDescent="0.15">
      <c r="A460" s="3">
        <v>42361</v>
      </c>
      <c r="B460">
        <v>2042.2</v>
      </c>
      <c r="C460" s="1">
        <v>2064.73</v>
      </c>
      <c r="D460" s="1">
        <v>2042.2</v>
      </c>
      <c r="E460" s="1">
        <v>2064.29</v>
      </c>
      <c r="F460" s="1">
        <v>545191292</v>
      </c>
    </row>
    <row r="461" spans="1:6" ht="13" x14ac:dyDescent="0.15">
      <c r="A461" s="3">
        <v>42362</v>
      </c>
      <c r="B461">
        <v>2063.52</v>
      </c>
      <c r="C461" s="1">
        <v>2067.36</v>
      </c>
      <c r="D461" s="1">
        <v>2058.73</v>
      </c>
      <c r="E461" s="1">
        <v>2060.9899999999998</v>
      </c>
      <c r="F461" s="1">
        <v>250570206</v>
      </c>
    </row>
    <row r="462" spans="1:6" ht="13" x14ac:dyDescent="0.15">
      <c r="A462" s="3">
        <v>42366</v>
      </c>
      <c r="B462">
        <v>2057.77</v>
      </c>
      <c r="C462" s="1">
        <v>2057.77</v>
      </c>
      <c r="D462" s="1">
        <v>2044.2</v>
      </c>
      <c r="E462" s="1">
        <v>2056.5</v>
      </c>
      <c r="F462" s="1">
        <v>367737617</v>
      </c>
    </row>
    <row r="463" spans="1:6" ht="13" x14ac:dyDescent="0.15">
      <c r="A463" s="3">
        <v>42367</v>
      </c>
      <c r="B463">
        <v>2060.54</v>
      </c>
      <c r="C463" s="1">
        <v>2081.56</v>
      </c>
      <c r="D463" s="1">
        <v>2060.54</v>
      </c>
      <c r="E463" s="1">
        <v>2078.36</v>
      </c>
      <c r="F463" s="1">
        <v>379027946</v>
      </c>
    </row>
    <row r="464" spans="1:6" ht="13" x14ac:dyDescent="0.15">
      <c r="A464" s="3">
        <v>42368</v>
      </c>
      <c r="B464">
        <v>2077.34</v>
      </c>
      <c r="C464" s="1">
        <v>2077.34</v>
      </c>
      <c r="D464" s="1">
        <v>2061.9699999999998</v>
      </c>
      <c r="E464" s="1">
        <v>2063.36</v>
      </c>
      <c r="F464" s="1">
        <v>334631231</v>
      </c>
    </row>
    <row r="465" spans="1:6" ht="13" x14ac:dyDescent="0.15">
      <c r="A465" s="3">
        <v>42369</v>
      </c>
      <c r="B465">
        <v>2060.59</v>
      </c>
      <c r="C465" s="1">
        <v>2062.54</v>
      </c>
      <c r="D465" s="1">
        <v>2043.62</v>
      </c>
      <c r="E465" s="1">
        <v>2043.94</v>
      </c>
      <c r="F465" s="1">
        <v>482596709</v>
      </c>
    </row>
    <row r="466" spans="1:6" ht="13" x14ac:dyDescent="0.15">
      <c r="A466" s="3">
        <v>42373</v>
      </c>
      <c r="B466">
        <v>2038.2</v>
      </c>
      <c r="C466" s="1">
        <v>2038.2</v>
      </c>
      <c r="D466" s="1">
        <v>1989.68</v>
      </c>
      <c r="E466" s="1">
        <v>2012.66</v>
      </c>
      <c r="F466" s="1">
        <v>802072115</v>
      </c>
    </row>
    <row r="467" spans="1:6" ht="13" x14ac:dyDescent="0.15">
      <c r="A467" s="3">
        <v>42374</v>
      </c>
      <c r="B467">
        <v>2013.78</v>
      </c>
      <c r="C467" s="1">
        <v>2021.94</v>
      </c>
      <c r="D467" s="1">
        <v>2004.17</v>
      </c>
      <c r="E467" s="1">
        <v>2016.71</v>
      </c>
      <c r="F467" s="1">
        <v>619260483</v>
      </c>
    </row>
    <row r="468" spans="1:6" ht="13" x14ac:dyDescent="0.15">
      <c r="A468" s="3">
        <v>42375</v>
      </c>
      <c r="B468">
        <v>2011.71</v>
      </c>
      <c r="C468" s="1">
        <v>2011.71</v>
      </c>
      <c r="D468" s="1">
        <v>1979.05</v>
      </c>
      <c r="E468" s="1">
        <v>1990.26</v>
      </c>
      <c r="F468" s="1">
        <v>734820348</v>
      </c>
    </row>
    <row r="469" spans="1:6" ht="13" x14ac:dyDescent="0.15">
      <c r="A469" s="3">
        <v>42376</v>
      </c>
      <c r="B469">
        <v>1985.32</v>
      </c>
      <c r="C469" s="1">
        <v>1985.32</v>
      </c>
      <c r="D469" s="1">
        <v>1938.83</v>
      </c>
      <c r="E469" s="1">
        <v>1943.09</v>
      </c>
      <c r="F469" s="1">
        <v>860517477</v>
      </c>
    </row>
    <row r="470" spans="1:6" ht="13" x14ac:dyDescent="0.15">
      <c r="A470" s="3">
        <v>42377</v>
      </c>
      <c r="B470">
        <v>1945.97</v>
      </c>
      <c r="C470" s="1">
        <v>1960.4</v>
      </c>
      <c r="D470" s="1">
        <v>1918.46</v>
      </c>
      <c r="E470" s="1">
        <v>1922.03</v>
      </c>
      <c r="F470" s="1">
        <v>800798104</v>
      </c>
    </row>
    <row r="471" spans="1:6" ht="13" x14ac:dyDescent="0.15">
      <c r="A471" s="3">
        <v>42380</v>
      </c>
      <c r="B471">
        <v>1926.12</v>
      </c>
      <c r="C471" s="1">
        <v>1935.65</v>
      </c>
      <c r="D471" s="1">
        <v>1901.1</v>
      </c>
      <c r="E471" s="1">
        <v>1923.67</v>
      </c>
      <c r="F471" s="1">
        <v>775646469</v>
      </c>
    </row>
    <row r="472" spans="1:6" ht="13" x14ac:dyDescent="0.15">
      <c r="A472" s="3">
        <v>42381</v>
      </c>
      <c r="B472">
        <v>1927.83</v>
      </c>
      <c r="C472" s="1">
        <v>1947.38</v>
      </c>
      <c r="D472" s="1">
        <v>1914.35</v>
      </c>
      <c r="E472" s="1">
        <v>1938.68</v>
      </c>
      <c r="F472" s="1">
        <v>759189614</v>
      </c>
    </row>
    <row r="473" spans="1:6" ht="13" x14ac:dyDescent="0.15">
      <c r="A473" s="3">
        <v>42382</v>
      </c>
      <c r="B473">
        <v>1940.34</v>
      </c>
      <c r="C473" s="1">
        <v>1950.33</v>
      </c>
      <c r="D473" s="1">
        <v>1886.41</v>
      </c>
      <c r="E473" s="1">
        <v>1890.28</v>
      </c>
      <c r="F473" s="1">
        <v>874565406</v>
      </c>
    </row>
    <row r="474" spans="1:6" ht="13" x14ac:dyDescent="0.15">
      <c r="A474" s="3">
        <v>42383</v>
      </c>
      <c r="B474">
        <v>1891.68</v>
      </c>
      <c r="C474" s="1">
        <v>1934.47</v>
      </c>
      <c r="D474" s="1">
        <v>1878.93</v>
      </c>
      <c r="E474" s="1">
        <v>1921.84</v>
      </c>
      <c r="F474" s="1">
        <v>920305719</v>
      </c>
    </row>
    <row r="475" spans="1:6" ht="13" x14ac:dyDescent="0.15">
      <c r="A475" s="3">
        <v>42384</v>
      </c>
      <c r="B475">
        <v>1916.68</v>
      </c>
      <c r="C475" s="1">
        <v>1916.68</v>
      </c>
      <c r="D475" s="1">
        <v>1857.83</v>
      </c>
      <c r="E475" s="1">
        <v>1880.33</v>
      </c>
      <c r="F475" s="1">
        <v>121200428</v>
      </c>
    </row>
    <row r="476" spans="1:6" ht="13" x14ac:dyDescent="0.15">
      <c r="A476" s="3">
        <v>42388</v>
      </c>
      <c r="B476">
        <v>1888.66</v>
      </c>
      <c r="C476" s="1">
        <v>1901.44</v>
      </c>
      <c r="D476" s="1">
        <v>1864.6</v>
      </c>
      <c r="E476" s="1">
        <v>1881.33</v>
      </c>
      <c r="F476" s="1">
        <v>876359950</v>
      </c>
    </row>
    <row r="477" spans="1:6" ht="13" x14ac:dyDescent="0.15">
      <c r="A477" s="3">
        <v>42389</v>
      </c>
      <c r="B477">
        <v>1876.18</v>
      </c>
      <c r="C477" s="1">
        <v>1876.18</v>
      </c>
      <c r="D477" s="1">
        <v>1812.29</v>
      </c>
      <c r="E477" s="1">
        <v>1859.33</v>
      </c>
      <c r="F477" s="1">
        <v>4309713</v>
      </c>
    </row>
    <row r="478" spans="1:6" ht="13" x14ac:dyDescent="0.15">
      <c r="A478" s="3">
        <v>42390</v>
      </c>
      <c r="B478">
        <v>1861.46</v>
      </c>
      <c r="C478" s="1">
        <v>1889.85</v>
      </c>
      <c r="D478" s="1">
        <v>1848.98</v>
      </c>
      <c r="E478" s="1">
        <v>1868.99</v>
      </c>
      <c r="F478" s="1">
        <v>853633943</v>
      </c>
    </row>
    <row r="479" spans="1:6" ht="13" x14ac:dyDescent="0.15">
      <c r="A479" s="3">
        <v>42391</v>
      </c>
      <c r="B479">
        <v>1877.4</v>
      </c>
      <c r="C479" s="1">
        <v>1908.85</v>
      </c>
      <c r="D479" s="1">
        <v>1877.4</v>
      </c>
      <c r="E479" s="1">
        <v>1906.9</v>
      </c>
      <c r="F479" s="1">
        <v>809147435</v>
      </c>
    </row>
    <row r="480" spans="1:6" ht="13" x14ac:dyDescent="0.15">
      <c r="A480" s="3">
        <v>42394</v>
      </c>
      <c r="B480">
        <v>1906.28</v>
      </c>
      <c r="C480" s="1">
        <v>1906.28</v>
      </c>
      <c r="D480" s="1">
        <v>1875.97</v>
      </c>
      <c r="E480" s="1">
        <v>1877.08</v>
      </c>
      <c r="F480" s="1">
        <v>760931974</v>
      </c>
    </row>
    <row r="481" spans="1:6" ht="13" x14ac:dyDescent="0.15">
      <c r="A481" s="3">
        <v>42395</v>
      </c>
      <c r="B481">
        <v>1878.79</v>
      </c>
      <c r="C481" s="1">
        <v>1906.73</v>
      </c>
      <c r="D481" s="1">
        <v>1878.79</v>
      </c>
      <c r="E481" s="1">
        <v>1903.63</v>
      </c>
      <c r="F481" s="1">
        <v>695956044</v>
      </c>
    </row>
    <row r="482" spans="1:6" ht="13" x14ac:dyDescent="0.15">
      <c r="A482" s="3">
        <v>42396</v>
      </c>
      <c r="B482">
        <v>1902.52</v>
      </c>
      <c r="C482" s="1">
        <v>1916.99</v>
      </c>
      <c r="D482" s="1">
        <v>1872.7</v>
      </c>
      <c r="E482" s="1">
        <v>1882.95</v>
      </c>
      <c r="F482" s="1">
        <v>801306427</v>
      </c>
    </row>
    <row r="483" spans="1:6" ht="13" x14ac:dyDescent="0.15">
      <c r="A483" s="3">
        <v>42397</v>
      </c>
      <c r="B483">
        <v>1885.22</v>
      </c>
      <c r="C483" s="1">
        <v>1902.96</v>
      </c>
      <c r="D483" s="1">
        <v>1873.65</v>
      </c>
      <c r="E483" s="1">
        <v>1893.36</v>
      </c>
      <c r="F483" s="1">
        <v>820296447</v>
      </c>
    </row>
    <row r="484" spans="1:6" ht="13" x14ac:dyDescent="0.15">
      <c r="A484" s="3">
        <v>42398</v>
      </c>
      <c r="B484">
        <v>1894</v>
      </c>
      <c r="C484" s="1">
        <v>1940.24</v>
      </c>
      <c r="D484" s="1">
        <v>1894</v>
      </c>
      <c r="E484" s="1">
        <v>1940.24</v>
      </c>
      <c r="F484" s="1">
        <v>144609311</v>
      </c>
    </row>
    <row r="485" spans="1:6" ht="13" x14ac:dyDescent="0.15">
      <c r="A485" s="3">
        <v>42401</v>
      </c>
      <c r="B485">
        <v>1936.94</v>
      </c>
      <c r="C485" s="1">
        <v>1947.2</v>
      </c>
      <c r="D485" s="1">
        <v>1920.3</v>
      </c>
      <c r="E485" s="1">
        <v>1939.38</v>
      </c>
      <c r="F485" s="1">
        <v>714148314</v>
      </c>
    </row>
    <row r="486" spans="1:6" ht="13" x14ac:dyDescent="0.15">
      <c r="A486" s="3">
        <v>42402</v>
      </c>
      <c r="B486">
        <v>1935.26</v>
      </c>
      <c r="C486" s="1">
        <v>1935.26</v>
      </c>
      <c r="D486" s="1">
        <v>1897.29</v>
      </c>
      <c r="E486" s="1">
        <v>1903.03</v>
      </c>
      <c r="F486" s="1">
        <v>788015916</v>
      </c>
    </row>
    <row r="487" spans="1:6" ht="13" x14ac:dyDescent="0.15">
      <c r="A487" s="3">
        <v>42403</v>
      </c>
      <c r="B487">
        <v>1907.07</v>
      </c>
      <c r="C487" s="1">
        <v>1918.01</v>
      </c>
      <c r="D487" s="1">
        <v>1872.23</v>
      </c>
      <c r="E487" s="1">
        <v>1912.53</v>
      </c>
      <c r="F487" s="1">
        <v>893685485</v>
      </c>
    </row>
    <row r="488" spans="1:6" ht="13" x14ac:dyDescent="0.15">
      <c r="A488" s="3">
        <v>42404</v>
      </c>
      <c r="B488">
        <v>1911.67</v>
      </c>
      <c r="C488" s="1">
        <v>1927.35</v>
      </c>
      <c r="D488" s="1">
        <v>1900.52</v>
      </c>
      <c r="E488" s="1">
        <v>1915.45</v>
      </c>
      <c r="F488" s="1">
        <v>865531792</v>
      </c>
    </row>
    <row r="489" spans="1:6" ht="13" x14ac:dyDescent="0.15">
      <c r="A489" s="3">
        <v>42405</v>
      </c>
      <c r="B489">
        <v>1913.07</v>
      </c>
      <c r="C489" s="1">
        <v>1913.07</v>
      </c>
      <c r="D489" s="1">
        <v>1872.65</v>
      </c>
      <c r="E489" s="1">
        <v>1880.05</v>
      </c>
      <c r="F489" s="1">
        <v>866331912</v>
      </c>
    </row>
    <row r="490" spans="1:6" ht="13" x14ac:dyDescent="0.15">
      <c r="A490" s="3">
        <v>42408</v>
      </c>
      <c r="B490">
        <v>1873.25</v>
      </c>
      <c r="C490" s="1">
        <v>1873.25</v>
      </c>
      <c r="D490" s="1">
        <v>1828.46</v>
      </c>
      <c r="E490" s="1">
        <v>1853.44</v>
      </c>
      <c r="F490" s="1">
        <v>1012893978</v>
      </c>
    </row>
    <row r="491" spans="1:6" ht="13" x14ac:dyDescent="0.15">
      <c r="A491" s="3">
        <v>42409</v>
      </c>
      <c r="B491">
        <v>1848.46</v>
      </c>
      <c r="C491" s="1">
        <v>1868.25</v>
      </c>
      <c r="D491" s="1">
        <v>1834.94</v>
      </c>
      <c r="E491" s="1">
        <v>1852.21</v>
      </c>
      <c r="F491" s="1">
        <v>847335260</v>
      </c>
    </row>
    <row r="492" spans="1:6" ht="13" x14ac:dyDescent="0.15">
      <c r="A492" s="3">
        <v>42410</v>
      </c>
      <c r="B492">
        <v>1857.1</v>
      </c>
      <c r="C492" s="1">
        <v>1881.6</v>
      </c>
      <c r="D492" s="1">
        <v>1850.32</v>
      </c>
      <c r="E492" s="1">
        <v>1851.86</v>
      </c>
      <c r="F492" s="1">
        <v>765063599</v>
      </c>
    </row>
    <row r="493" spans="1:6" ht="13" x14ac:dyDescent="0.15">
      <c r="A493" s="3">
        <v>42411</v>
      </c>
      <c r="B493">
        <v>1847</v>
      </c>
      <c r="C493" s="1">
        <v>1847</v>
      </c>
      <c r="D493" s="1">
        <v>1810.1</v>
      </c>
      <c r="E493" s="1">
        <v>1829.08</v>
      </c>
      <c r="F493" s="1">
        <v>959312839</v>
      </c>
    </row>
    <row r="494" spans="1:6" ht="13" x14ac:dyDescent="0.15">
      <c r="A494" s="3">
        <v>42412</v>
      </c>
      <c r="B494">
        <v>1833.4</v>
      </c>
      <c r="C494" s="1">
        <v>1864.78</v>
      </c>
      <c r="D494" s="1">
        <v>1833.4</v>
      </c>
      <c r="E494" s="1">
        <v>1864.78</v>
      </c>
      <c r="F494" s="1">
        <v>803669163</v>
      </c>
    </row>
    <row r="495" spans="1:6" ht="13" x14ac:dyDescent="0.15">
      <c r="A495" s="3">
        <v>42416</v>
      </c>
      <c r="B495">
        <v>1871.44</v>
      </c>
      <c r="C495" s="1">
        <v>1895.77</v>
      </c>
      <c r="D495" s="1">
        <v>1871.44</v>
      </c>
      <c r="E495" s="1">
        <v>1895.58</v>
      </c>
      <c r="F495" s="1">
        <v>840931331</v>
      </c>
    </row>
    <row r="496" spans="1:6" ht="13" x14ac:dyDescent="0.15">
      <c r="A496" s="3">
        <v>42417</v>
      </c>
      <c r="B496">
        <v>1898.8</v>
      </c>
      <c r="C496" s="1">
        <v>1930.68</v>
      </c>
      <c r="D496" s="1">
        <v>1898.8</v>
      </c>
      <c r="E496" s="1">
        <v>1926.82</v>
      </c>
      <c r="F496" s="1">
        <v>818658375</v>
      </c>
    </row>
    <row r="497" spans="1:6" ht="13" x14ac:dyDescent="0.15">
      <c r="A497" s="3">
        <v>42418</v>
      </c>
      <c r="B497">
        <v>1927.57</v>
      </c>
      <c r="C497" s="1">
        <v>1930</v>
      </c>
      <c r="D497" s="1">
        <v>1915.09</v>
      </c>
      <c r="E497" s="1">
        <v>1917.83</v>
      </c>
      <c r="F497" s="1">
        <v>729872023</v>
      </c>
    </row>
    <row r="498" spans="1:6" ht="13" x14ac:dyDescent="0.15">
      <c r="A498" s="3">
        <v>42419</v>
      </c>
      <c r="B498">
        <v>1916.74</v>
      </c>
      <c r="C498" s="1">
        <v>1918.78</v>
      </c>
      <c r="D498" s="1">
        <v>1902.17</v>
      </c>
      <c r="E498" s="1">
        <v>1917.78</v>
      </c>
      <c r="F498" s="1">
        <v>862747420</v>
      </c>
    </row>
    <row r="499" spans="1:6" ht="13" x14ac:dyDescent="0.15">
      <c r="A499" s="3">
        <v>42422</v>
      </c>
      <c r="B499">
        <v>1924.44</v>
      </c>
      <c r="C499" s="1">
        <v>1946.7</v>
      </c>
      <c r="D499" s="1">
        <v>1924.44</v>
      </c>
      <c r="E499" s="1">
        <v>1945.5</v>
      </c>
      <c r="F499" s="1">
        <v>663513182</v>
      </c>
    </row>
    <row r="500" spans="1:6" ht="13" x14ac:dyDescent="0.15">
      <c r="A500" s="3">
        <v>42423</v>
      </c>
      <c r="B500">
        <v>1942.38</v>
      </c>
      <c r="C500" s="1">
        <v>1942.38</v>
      </c>
      <c r="D500" s="1">
        <v>1919.44</v>
      </c>
      <c r="E500" s="1">
        <v>1921.27</v>
      </c>
      <c r="F500" s="1">
        <v>626779261</v>
      </c>
    </row>
    <row r="501" spans="1:6" ht="13" x14ac:dyDescent="0.15">
      <c r="A501" s="3">
        <v>42424</v>
      </c>
      <c r="B501">
        <v>1917.56</v>
      </c>
      <c r="C501" s="1">
        <v>1932.08</v>
      </c>
      <c r="D501" s="1">
        <v>1891</v>
      </c>
      <c r="E501" s="1">
        <v>1929.8</v>
      </c>
      <c r="F501" s="1">
        <v>662291401</v>
      </c>
    </row>
    <row r="502" spans="1:6" ht="13" x14ac:dyDescent="0.15">
      <c r="A502" s="3">
        <v>42425</v>
      </c>
      <c r="B502">
        <v>1931.87</v>
      </c>
      <c r="C502" s="1">
        <v>1951.83</v>
      </c>
      <c r="D502" s="1">
        <v>1925.41</v>
      </c>
      <c r="E502" s="1">
        <v>1951.7</v>
      </c>
      <c r="F502" s="1">
        <v>590047710</v>
      </c>
    </row>
    <row r="503" spans="1:6" ht="13" x14ac:dyDescent="0.15">
      <c r="A503" s="3">
        <v>42426</v>
      </c>
      <c r="B503">
        <v>1954.95</v>
      </c>
      <c r="C503" s="1">
        <v>1962.96</v>
      </c>
      <c r="D503" s="1">
        <v>1945.78</v>
      </c>
      <c r="E503" s="1">
        <v>1948.05</v>
      </c>
      <c r="F503" s="1">
        <v>669969843</v>
      </c>
    </row>
    <row r="504" spans="1:6" ht="13" x14ac:dyDescent="0.15">
      <c r="A504" s="3">
        <v>42429</v>
      </c>
      <c r="B504">
        <v>1947.13</v>
      </c>
      <c r="C504" s="1">
        <v>1958.27</v>
      </c>
      <c r="D504" s="1">
        <v>1931.81</v>
      </c>
      <c r="E504" s="1">
        <v>1932.23</v>
      </c>
      <c r="F504" s="1">
        <v>849487499</v>
      </c>
    </row>
    <row r="505" spans="1:6" ht="13" x14ac:dyDescent="0.15">
      <c r="A505" s="3">
        <v>42430</v>
      </c>
      <c r="B505">
        <v>1937.09</v>
      </c>
      <c r="C505" s="1">
        <v>1978.35</v>
      </c>
      <c r="D505" s="1">
        <v>1937.09</v>
      </c>
      <c r="E505" s="1">
        <v>1978.35</v>
      </c>
      <c r="F505" s="1">
        <v>742687074</v>
      </c>
    </row>
    <row r="506" spans="1:6" ht="13" x14ac:dyDescent="0.15">
      <c r="A506" s="3">
        <v>42431</v>
      </c>
      <c r="B506">
        <v>1976.6</v>
      </c>
      <c r="C506" s="1">
        <v>1986.51</v>
      </c>
      <c r="D506" s="1">
        <v>1968.8</v>
      </c>
      <c r="E506" s="1">
        <v>1986.45</v>
      </c>
      <c r="F506" s="1">
        <v>680819457</v>
      </c>
    </row>
    <row r="507" spans="1:6" ht="13" x14ac:dyDescent="0.15">
      <c r="A507" s="3">
        <v>42432</v>
      </c>
      <c r="B507">
        <v>1985.6</v>
      </c>
      <c r="C507" s="1">
        <v>1993.69</v>
      </c>
      <c r="D507" s="1">
        <v>1977.37</v>
      </c>
      <c r="E507" s="1">
        <v>1993.4</v>
      </c>
      <c r="F507" s="1">
        <v>667829915</v>
      </c>
    </row>
    <row r="508" spans="1:6" ht="13" x14ac:dyDescent="0.15">
      <c r="A508" s="3">
        <v>42433</v>
      </c>
      <c r="B508">
        <v>1994.01</v>
      </c>
      <c r="C508" s="1">
        <v>2009.13</v>
      </c>
      <c r="D508" s="1">
        <v>1986.77</v>
      </c>
      <c r="E508" s="1">
        <v>1999.99</v>
      </c>
      <c r="F508" s="1">
        <v>782584654</v>
      </c>
    </row>
    <row r="509" spans="1:6" ht="13" x14ac:dyDescent="0.15">
      <c r="A509" s="3">
        <v>42436</v>
      </c>
      <c r="B509">
        <v>1996.11</v>
      </c>
      <c r="C509" s="1">
        <v>2006.12</v>
      </c>
      <c r="D509" s="1">
        <v>1989.38</v>
      </c>
      <c r="E509" s="1">
        <v>2001.76</v>
      </c>
      <c r="F509" s="1">
        <v>654455151</v>
      </c>
    </row>
    <row r="510" spans="1:6" ht="13" x14ac:dyDescent="0.15">
      <c r="A510" s="3">
        <v>42437</v>
      </c>
      <c r="B510">
        <v>1996.88</v>
      </c>
      <c r="C510" s="1">
        <v>1996.88</v>
      </c>
      <c r="D510" s="1">
        <v>1977.43</v>
      </c>
      <c r="E510" s="1">
        <v>1979.26</v>
      </c>
      <c r="F510" s="1">
        <v>699806748</v>
      </c>
    </row>
    <row r="511" spans="1:6" ht="13" x14ac:dyDescent="0.15">
      <c r="A511" s="3">
        <v>42438</v>
      </c>
      <c r="B511">
        <v>1981.44</v>
      </c>
      <c r="C511" s="1">
        <v>1992.69</v>
      </c>
      <c r="D511" s="1">
        <v>1979.84</v>
      </c>
      <c r="E511" s="1">
        <v>1989.26</v>
      </c>
      <c r="F511" s="1">
        <v>608081877</v>
      </c>
    </row>
    <row r="512" spans="1:6" ht="13" x14ac:dyDescent="0.15">
      <c r="A512" s="3">
        <v>42439</v>
      </c>
      <c r="B512">
        <v>1990.97</v>
      </c>
      <c r="C512" s="1">
        <v>2005.08</v>
      </c>
      <c r="D512" s="1">
        <v>1969.25</v>
      </c>
      <c r="E512" s="1">
        <v>1989.57</v>
      </c>
      <c r="F512" s="1">
        <v>665444879</v>
      </c>
    </row>
    <row r="513" spans="1:6" ht="13" x14ac:dyDescent="0.15">
      <c r="A513" s="3">
        <v>42440</v>
      </c>
      <c r="B513">
        <v>1994.71</v>
      </c>
      <c r="C513" s="1">
        <v>2022.37</v>
      </c>
      <c r="D513" s="1">
        <v>1994.71</v>
      </c>
      <c r="E513" s="1">
        <v>2022.19</v>
      </c>
      <c r="F513" s="1">
        <v>641712853</v>
      </c>
    </row>
    <row r="514" spans="1:6" ht="13" x14ac:dyDescent="0.15">
      <c r="A514" s="3">
        <v>42443</v>
      </c>
      <c r="B514">
        <v>2019.27</v>
      </c>
      <c r="C514" s="1">
        <v>2024.57</v>
      </c>
      <c r="D514" s="1">
        <v>2012.05</v>
      </c>
      <c r="E514" s="1">
        <v>2019.64</v>
      </c>
      <c r="F514" s="1">
        <v>546841030</v>
      </c>
    </row>
    <row r="515" spans="1:6" ht="13" x14ac:dyDescent="0.15">
      <c r="A515" s="3">
        <v>42444</v>
      </c>
      <c r="B515">
        <v>2015.27</v>
      </c>
      <c r="C515" s="1">
        <v>2015.94</v>
      </c>
      <c r="D515" s="1">
        <v>2005.23</v>
      </c>
      <c r="E515" s="1">
        <v>2015.93</v>
      </c>
      <c r="F515" s="1">
        <v>529503338</v>
      </c>
    </row>
    <row r="516" spans="1:6" ht="13" x14ac:dyDescent="0.15">
      <c r="A516" s="3">
        <v>42445</v>
      </c>
      <c r="B516">
        <v>2014.24</v>
      </c>
      <c r="C516" s="1">
        <v>2032.02</v>
      </c>
      <c r="D516" s="1">
        <v>2010.04</v>
      </c>
      <c r="E516" s="1">
        <v>2027.22</v>
      </c>
      <c r="F516" s="1">
        <v>617671853</v>
      </c>
    </row>
    <row r="517" spans="1:6" ht="13" x14ac:dyDescent="0.15">
      <c r="A517" s="3">
        <v>42446</v>
      </c>
      <c r="B517">
        <v>2026.9</v>
      </c>
      <c r="C517" s="1">
        <v>2046.24</v>
      </c>
      <c r="D517" s="1">
        <v>2022.16</v>
      </c>
      <c r="E517" s="1">
        <v>2040.59</v>
      </c>
      <c r="F517" s="1">
        <v>661763816</v>
      </c>
    </row>
    <row r="518" spans="1:6" ht="13" x14ac:dyDescent="0.15">
      <c r="A518" s="3">
        <v>42447</v>
      </c>
      <c r="B518">
        <v>2041.16</v>
      </c>
      <c r="C518" s="1">
        <v>2052.36</v>
      </c>
      <c r="D518" s="1">
        <v>2041.16</v>
      </c>
      <c r="E518" s="1">
        <v>2049.58</v>
      </c>
      <c r="F518" s="1">
        <v>669416338</v>
      </c>
    </row>
    <row r="519" spans="1:6" ht="13" x14ac:dyDescent="0.15">
      <c r="A519" s="3">
        <v>42450</v>
      </c>
      <c r="B519">
        <v>2047.88</v>
      </c>
      <c r="C519" s="1">
        <v>2053.91</v>
      </c>
      <c r="D519" s="1">
        <v>2043.14</v>
      </c>
      <c r="E519" s="1">
        <v>2051.6</v>
      </c>
      <c r="F519" s="1">
        <v>535577137</v>
      </c>
    </row>
    <row r="520" spans="1:6" ht="13" x14ac:dyDescent="0.15">
      <c r="A520" s="3">
        <v>42451</v>
      </c>
      <c r="B520">
        <v>2048.64</v>
      </c>
      <c r="C520" s="1">
        <v>2056.6</v>
      </c>
      <c r="D520" s="1">
        <v>2040.57</v>
      </c>
      <c r="E520" s="1">
        <v>2049.8000000000002</v>
      </c>
      <c r="F520" s="1">
        <v>555485645</v>
      </c>
    </row>
    <row r="521" spans="1:6" ht="13" x14ac:dyDescent="0.15">
      <c r="A521" s="3">
        <v>42452</v>
      </c>
      <c r="B521">
        <v>2048.5500000000002</v>
      </c>
      <c r="C521" s="1">
        <v>2048.5500000000002</v>
      </c>
      <c r="D521" s="1">
        <v>2034.86</v>
      </c>
      <c r="E521" s="1">
        <v>2036.71</v>
      </c>
      <c r="F521" s="1">
        <v>542134056</v>
      </c>
    </row>
    <row r="522" spans="1:6" ht="13" x14ac:dyDescent="0.15">
      <c r="A522" s="3">
        <v>42453</v>
      </c>
      <c r="B522">
        <v>2032.48</v>
      </c>
      <c r="C522" s="1">
        <v>2036.04</v>
      </c>
      <c r="D522" s="1">
        <v>2022.49</v>
      </c>
      <c r="E522" s="1">
        <v>2035.94</v>
      </c>
      <c r="F522" s="1">
        <v>600131213</v>
      </c>
    </row>
    <row r="523" spans="1:6" ht="13" x14ac:dyDescent="0.15">
      <c r="A523" s="3">
        <v>42457</v>
      </c>
      <c r="B523">
        <v>2037.89</v>
      </c>
      <c r="C523" s="1">
        <v>2042.67</v>
      </c>
      <c r="D523" s="1">
        <v>2031.96</v>
      </c>
      <c r="E523" s="1">
        <v>2037.05</v>
      </c>
      <c r="F523" s="1">
        <v>460627846</v>
      </c>
    </row>
    <row r="524" spans="1:6" ht="13" x14ac:dyDescent="0.15">
      <c r="A524" s="4">
        <v>42094</v>
      </c>
      <c r="B524" s="1">
        <v>2067.89</v>
      </c>
    </row>
    <row r="525" spans="1:6" ht="13" x14ac:dyDescent="0.15">
      <c r="A525" s="4">
        <v>42095</v>
      </c>
      <c r="B525" s="1">
        <v>2059.69</v>
      </c>
    </row>
    <row r="526" spans="1:6" ht="13" x14ac:dyDescent="0.15">
      <c r="A526" s="4">
        <v>42096</v>
      </c>
      <c r="B526" s="1">
        <v>2066.96</v>
      </c>
    </row>
    <row r="527" spans="1:6" ht="13" x14ac:dyDescent="0.15">
      <c r="A527" s="4">
        <v>42100</v>
      </c>
      <c r="B527" s="1">
        <v>2080.62</v>
      </c>
    </row>
    <row r="528" spans="1:6" ht="13" x14ac:dyDescent="0.15">
      <c r="A528" s="4">
        <v>42101</v>
      </c>
      <c r="B528" s="1">
        <v>2076.33</v>
      </c>
    </row>
    <row r="529" spans="1:2" ht="13" x14ac:dyDescent="0.15">
      <c r="A529" s="4">
        <v>42102</v>
      </c>
      <c r="B529" s="1">
        <v>2081.9</v>
      </c>
    </row>
    <row r="530" spans="1:2" ht="13" x14ac:dyDescent="0.15">
      <c r="A530" s="4">
        <v>42103</v>
      </c>
      <c r="B530" s="1">
        <v>2091.1799999999998</v>
      </c>
    </row>
    <row r="531" spans="1:2" ht="13" x14ac:dyDescent="0.15">
      <c r="A531" s="4">
        <v>42104</v>
      </c>
      <c r="B531" s="1">
        <v>2102.06</v>
      </c>
    </row>
    <row r="532" spans="1:2" ht="13" x14ac:dyDescent="0.15">
      <c r="A532" s="4">
        <v>42107</v>
      </c>
      <c r="B532" s="1">
        <v>2092.4299999999998</v>
      </c>
    </row>
    <row r="533" spans="1:2" ht="13" x14ac:dyDescent="0.15">
      <c r="A533" s="4">
        <v>42108</v>
      </c>
      <c r="B533" s="1">
        <v>2095.84</v>
      </c>
    </row>
    <row r="534" spans="1:2" ht="13" x14ac:dyDescent="0.15">
      <c r="A534" s="4">
        <v>42109</v>
      </c>
      <c r="B534" s="1">
        <v>2106.63</v>
      </c>
    </row>
    <row r="535" spans="1:2" ht="13" x14ac:dyDescent="0.15">
      <c r="A535" s="4">
        <v>42110</v>
      </c>
      <c r="B535" s="1">
        <v>2104.9899999999998</v>
      </c>
    </row>
    <row r="536" spans="1:2" ht="13" x14ac:dyDescent="0.15">
      <c r="A536" s="4">
        <v>42111</v>
      </c>
      <c r="B536" s="1">
        <v>2081.1799999999998</v>
      </c>
    </row>
    <row r="537" spans="1:2" ht="13" x14ac:dyDescent="0.15">
      <c r="A537" s="4">
        <v>42114</v>
      </c>
      <c r="B537" s="1">
        <v>2100.4</v>
      </c>
    </row>
    <row r="538" spans="1:2" ht="13" x14ac:dyDescent="0.15">
      <c r="A538" s="4">
        <v>42115</v>
      </c>
      <c r="B538" s="1">
        <v>2097.29</v>
      </c>
    </row>
    <row r="539" spans="1:2" ht="13" x14ac:dyDescent="0.15">
      <c r="A539" s="4">
        <v>42116</v>
      </c>
      <c r="B539" s="1">
        <v>2107.96</v>
      </c>
    </row>
    <row r="540" spans="1:2" ht="13" x14ac:dyDescent="0.15">
      <c r="A540" s="4">
        <v>42117</v>
      </c>
      <c r="B540" s="1">
        <v>2112.9299999999998</v>
      </c>
    </row>
    <row r="541" spans="1:2" ht="13" x14ac:dyDescent="0.15">
      <c r="A541" s="4">
        <v>42118</v>
      </c>
      <c r="B541" s="1">
        <v>2117.69</v>
      </c>
    </row>
    <row r="542" spans="1:2" ht="13" x14ac:dyDescent="0.15">
      <c r="A542" s="4">
        <v>42121</v>
      </c>
      <c r="B542" s="1">
        <v>2108.92</v>
      </c>
    </row>
    <row r="543" spans="1:2" ht="13" x14ac:dyDescent="0.15">
      <c r="A543" s="4">
        <v>42122</v>
      </c>
      <c r="B543" s="1">
        <v>2114.7600000000002</v>
      </c>
    </row>
    <row r="544" spans="1:2" ht="13" x14ac:dyDescent="0.15">
      <c r="A544" s="4">
        <v>42123</v>
      </c>
      <c r="B544" s="1">
        <v>2106.85</v>
      </c>
    </row>
    <row r="545" spans="1:2" ht="13" x14ac:dyDescent="0.15">
      <c r="A545" s="4">
        <v>42124</v>
      </c>
      <c r="B545" s="1">
        <v>2085.5100000000002</v>
      </c>
    </row>
    <row r="546" spans="1:2" ht="13" x14ac:dyDescent="0.15">
      <c r="A546" s="4">
        <v>42125</v>
      </c>
      <c r="B546" s="1">
        <v>2108.29</v>
      </c>
    </row>
    <row r="547" spans="1:2" ht="13" x14ac:dyDescent="0.15">
      <c r="A547" s="4">
        <v>42128</v>
      </c>
      <c r="B547" s="1">
        <v>2114.4899999999998</v>
      </c>
    </row>
    <row r="548" spans="1:2" ht="13" x14ac:dyDescent="0.15">
      <c r="A548" s="4">
        <v>42129</v>
      </c>
      <c r="B548" s="1">
        <v>2089.46</v>
      </c>
    </row>
    <row r="549" spans="1:2" ht="13" x14ac:dyDescent="0.15">
      <c r="A549" s="4">
        <v>42130</v>
      </c>
      <c r="B549" s="1">
        <v>2080.15</v>
      </c>
    </row>
    <row r="550" spans="1:2" ht="13" x14ac:dyDescent="0.15">
      <c r="A550" s="4">
        <v>42131</v>
      </c>
      <c r="B550" s="1">
        <v>2088</v>
      </c>
    </row>
    <row r="551" spans="1:2" ht="13" x14ac:dyDescent="0.15">
      <c r="A551" s="4">
        <v>42132</v>
      </c>
      <c r="B551" s="1">
        <v>2116.1</v>
      </c>
    </row>
    <row r="552" spans="1:2" ht="13" x14ac:dyDescent="0.15">
      <c r="A552" s="4">
        <v>42135</v>
      </c>
      <c r="B552" s="1">
        <v>2105.33</v>
      </c>
    </row>
    <row r="553" spans="1:2" ht="13" x14ac:dyDescent="0.15">
      <c r="A553" s="4">
        <v>42136</v>
      </c>
      <c r="B553" s="1">
        <v>2099.12</v>
      </c>
    </row>
    <row r="554" spans="1:2" ht="13" x14ac:dyDescent="0.15">
      <c r="A554" s="4">
        <v>42137</v>
      </c>
      <c r="B554" s="1">
        <v>2098.48</v>
      </c>
    </row>
    <row r="555" spans="1:2" ht="13" x14ac:dyDescent="0.15">
      <c r="A555" s="4">
        <v>42138</v>
      </c>
      <c r="B555" s="1">
        <v>2121.1</v>
      </c>
    </row>
    <row r="556" spans="1:2" ht="13" x14ac:dyDescent="0.15">
      <c r="A556" s="4">
        <v>42139</v>
      </c>
      <c r="B556" s="1">
        <v>2122.73</v>
      </c>
    </row>
    <row r="557" spans="1:2" ht="13" x14ac:dyDescent="0.15">
      <c r="A557" s="4">
        <v>42142</v>
      </c>
      <c r="B557" s="1">
        <v>2129.1999999999998</v>
      </c>
    </row>
    <row r="558" spans="1:2" ht="13" x14ac:dyDescent="0.15">
      <c r="A558" s="4">
        <v>42143</v>
      </c>
      <c r="B558" s="1">
        <v>2127.83</v>
      </c>
    </row>
    <row r="559" spans="1:2" ht="13" x14ac:dyDescent="0.15">
      <c r="A559" s="4">
        <v>42144</v>
      </c>
      <c r="B559" s="1">
        <v>2125.85</v>
      </c>
    </row>
    <row r="560" spans="1:2" ht="13" x14ac:dyDescent="0.15">
      <c r="A560" s="4">
        <v>42145</v>
      </c>
      <c r="B560" s="1">
        <v>2130.8200000000002</v>
      </c>
    </row>
    <row r="561" spans="1:2" ht="13" x14ac:dyDescent="0.15">
      <c r="A561" s="4">
        <v>42146</v>
      </c>
      <c r="B561" s="1">
        <v>2126.06</v>
      </c>
    </row>
    <row r="562" spans="1:2" ht="13" x14ac:dyDescent="0.15">
      <c r="A562" s="4">
        <v>42150</v>
      </c>
      <c r="B562" s="1">
        <v>2104.1999999999998</v>
      </c>
    </row>
    <row r="563" spans="1:2" ht="13" x14ac:dyDescent="0.15">
      <c r="A563" s="4">
        <v>42151</v>
      </c>
      <c r="B563" s="1">
        <v>2123.48</v>
      </c>
    </row>
    <row r="564" spans="1:2" ht="13" x14ac:dyDescent="0.15">
      <c r="A564" s="4">
        <v>42152</v>
      </c>
      <c r="B564" s="1">
        <v>2120.79</v>
      </c>
    </row>
    <row r="565" spans="1:2" ht="13" x14ac:dyDescent="0.15">
      <c r="A565" s="4">
        <v>42153</v>
      </c>
      <c r="B565" s="1">
        <v>2107.39</v>
      </c>
    </row>
    <row r="566" spans="1:2" ht="13" x14ac:dyDescent="0.15">
      <c r="A566" s="4">
        <v>42156</v>
      </c>
      <c r="B566" s="1">
        <v>2111.73</v>
      </c>
    </row>
    <row r="567" spans="1:2" ht="13" x14ac:dyDescent="0.15">
      <c r="A567" s="4">
        <v>42157</v>
      </c>
      <c r="B567" s="1">
        <v>2109.6</v>
      </c>
    </row>
    <row r="568" spans="1:2" ht="13" x14ac:dyDescent="0.15">
      <c r="A568" s="4">
        <v>42158</v>
      </c>
      <c r="B568" s="1">
        <v>2114.0700000000002</v>
      </c>
    </row>
    <row r="569" spans="1:2" ht="13" x14ac:dyDescent="0.15">
      <c r="A569" s="4">
        <v>42159</v>
      </c>
      <c r="B569" s="1">
        <v>2095.84</v>
      </c>
    </row>
    <row r="570" spans="1:2" ht="13" x14ac:dyDescent="0.15">
      <c r="A570" s="4">
        <v>42160</v>
      </c>
      <c r="B570" s="1">
        <v>2092.83</v>
      </c>
    </row>
    <row r="571" spans="1:2" ht="13" x14ac:dyDescent="0.15">
      <c r="A571" s="4">
        <v>42163</v>
      </c>
      <c r="B571" s="1">
        <v>2079.2800000000002</v>
      </c>
    </row>
    <row r="572" spans="1:2" ht="13" x14ac:dyDescent="0.15">
      <c r="A572" s="4">
        <v>42164</v>
      </c>
      <c r="B572" s="1">
        <v>2080.15</v>
      </c>
    </row>
    <row r="573" spans="1:2" ht="13" x14ac:dyDescent="0.15">
      <c r="A573" s="4">
        <v>42165</v>
      </c>
      <c r="B573" s="1">
        <v>2105.1999999999998</v>
      </c>
    </row>
    <row r="574" spans="1:2" ht="13" x14ac:dyDescent="0.15">
      <c r="A574" s="4">
        <v>42166</v>
      </c>
      <c r="B574" s="1">
        <v>2108.86</v>
      </c>
    </row>
    <row r="575" spans="1:2" ht="13" x14ac:dyDescent="0.15">
      <c r="A575" s="4">
        <v>42167</v>
      </c>
      <c r="B575" s="1">
        <v>2094.11</v>
      </c>
    </row>
    <row r="576" spans="1:2" ht="13" x14ac:dyDescent="0.15">
      <c r="A576" s="4">
        <v>42170</v>
      </c>
      <c r="B576" s="1">
        <v>2084.4299999999998</v>
      </c>
    </row>
    <row r="577" spans="1:2" ht="13" x14ac:dyDescent="0.15">
      <c r="A577" s="4">
        <v>42171</v>
      </c>
      <c r="B577" s="1">
        <v>2096.29</v>
      </c>
    </row>
    <row r="578" spans="1:2" ht="13" x14ac:dyDescent="0.15">
      <c r="A578" s="4">
        <v>42172</v>
      </c>
      <c r="B578" s="1">
        <v>2100.44</v>
      </c>
    </row>
    <row r="579" spans="1:2" ht="13" x14ac:dyDescent="0.15">
      <c r="A579" s="4">
        <v>42173</v>
      </c>
      <c r="B579" s="1">
        <v>2121.2399999999998</v>
      </c>
    </row>
    <row r="580" spans="1:2" ht="13" x14ac:dyDescent="0.15">
      <c r="A580" s="4">
        <v>42174</v>
      </c>
      <c r="B580" s="1">
        <v>2109.9899999999998</v>
      </c>
    </row>
    <row r="581" spans="1:2" ht="13" x14ac:dyDescent="0.15">
      <c r="A581" s="4">
        <v>42177</v>
      </c>
      <c r="B581" s="1">
        <v>2122.85</v>
      </c>
    </row>
    <row r="582" spans="1:2" ht="13" x14ac:dyDescent="0.15">
      <c r="A582" s="4">
        <v>42178</v>
      </c>
      <c r="B582" s="1">
        <v>2124.1999999999998</v>
      </c>
    </row>
    <row r="583" spans="1:2" ht="13" x14ac:dyDescent="0.15">
      <c r="A583" s="4">
        <v>42179</v>
      </c>
      <c r="B583" s="1">
        <v>2108.58</v>
      </c>
    </row>
    <row r="584" spans="1:2" ht="13" x14ac:dyDescent="0.15">
      <c r="A584" s="4">
        <v>42180</v>
      </c>
      <c r="B584" s="1">
        <v>2102.31</v>
      </c>
    </row>
    <row r="585" spans="1:2" ht="13" x14ac:dyDescent="0.15">
      <c r="A585" s="4">
        <v>42181</v>
      </c>
      <c r="B585" s="1">
        <v>2101.4899999999998</v>
      </c>
    </row>
    <row r="586" spans="1:2" ht="13" x14ac:dyDescent="0.15">
      <c r="A586" s="4">
        <v>42184</v>
      </c>
      <c r="B586" s="1">
        <v>2057.64</v>
      </c>
    </row>
    <row r="587" spans="1:2" ht="13" x14ac:dyDescent="0.15">
      <c r="A587" s="4">
        <v>42185</v>
      </c>
      <c r="B587" s="1">
        <v>2063.11</v>
      </c>
    </row>
    <row r="588" spans="1:2" ht="13" x14ac:dyDescent="0.15">
      <c r="A588" s="4">
        <v>42186</v>
      </c>
      <c r="B588" s="1">
        <v>2077.42</v>
      </c>
    </row>
    <row r="589" spans="1:2" ht="13" x14ac:dyDescent="0.15">
      <c r="A589" s="4">
        <v>42187</v>
      </c>
      <c r="B589" s="1">
        <v>2076.7800000000002</v>
      </c>
    </row>
    <row r="590" spans="1:2" ht="13" x14ac:dyDescent="0.15">
      <c r="A590" s="4">
        <v>42191</v>
      </c>
      <c r="B590" s="1">
        <v>2068.7600000000002</v>
      </c>
    </row>
    <row r="591" spans="1:2" ht="13" x14ac:dyDescent="0.15">
      <c r="A591" s="4">
        <v>42192</v>
      </c>
      <c r="B591" s="1">
        <v>2081.34</v>
      </c>
    </row>
    <row r="592" spans="1:2" ht="13" x14ac:dyDescent="0.15">
      <c r="A592" s="4">
        <v>42193</v>
      </c>
      <c r="B592" s="1">
        <v>2046.68</v>
      </c>
    </row>
    <row r="593" spans="1:2" ht="13" x14ac:dyDescent="0.15">
      <c r="A593" s="4">
        <v>42194</v>
      </c>
      <c r="B593" s="1">
        <v>2051.31</v>
      </c>
    </row>
    <row r="594" spans="1:2" ht="13" x14ac:dyDescent="0.15">
      <c r="A594" s="4">
        <v>42195</v>
      </c>
      <c r="B594" s="1">
        <v>2076.62</v>
      </c>
    </row>
    <row r="595" spans="1:2" ht="13" x14ac:dyDescent="0.15">
      <c r="A595" s="4">
        <v>42198</v>
      </c>
      <c r="B595" s="1">
        <v>2099.6</v>
      </c>
    </row>
    <row r="596" spans="1:2" ht="13" x14ac:dyDescent="0.15">
      <c r="A596" s="4">
        <v>42199</v>
      </c>
      <c r="B596" s="1">
        <v>2108.9499999999998</v>
      </c>
    </row>
    <row r="597" spans="1:2" ht="13" x14ac:dyDescent="0.15">
      <c r="A597" s="4">
        <v>42200</v>
      </c>
      <c r="B597" s="1">
        <v>2107.4</v>
      </c>
    </row>
    <row r="598" spans="1:2" ht="13" x14ac:dyDescent="0.15">
      <c r="A598" s="4">
        <v>42201</v>
      </c>
      <c r="B598" s="1">
        <v>2124.29</v>
      </c>
    </row>
    <row r="599" spans="1:2" ht="13" x14ac:dyDescent="0.15">
      <c r="A599" s="4">
        <v>42202</v>
      </c>
      <c r="B599" s="1">
        <v>2126.64</v>
      </c>
    </row>
    <row r="600" spans="1:2" ht="13" x14ac:dyDescent="0.15">
      <c r="A600" s="4">
        <v>42205</v>
      </c>
      <c r="B600" s="1">
        <v>2128.2800000000002</v>
      </c>
    </row>
    <row r="601" spans="1:2" ht="13" x14ac:dyDescent="0.15">
      <c r="A601" s="4">
        <v>42206</v>
      </c>
      <c r="B601" s="1">
        <v>2119.21</v>
      </c>
    </row>
    <row r="602" spans="1:2" ht="13" x14ac:dyDescent="0.15">
      <c r="A602" s="4">
        <v>42207</v>
      </c>
      <c r="B602" s="1">
        <v>2114.15</v>
      </c>
    </row>
    <row r="603" spans="1:2" ht="13" x14ac:dyDescent="0.15">
      <c r="A603" s="4">
        <v>42208</v>
      </c>
      <c r="B603" s="1">
        <v>2102.15</v>
      </c>
    </row>
    <row r="604" spans="1:2" ht="13" x14ac:dyDescent="0.15">
      <c r="A604" s="4">
        <v>42209</v>
      </c>
      <c r="B604" s="1">
        <v>2079.65</v>
      </c>
    </row>
    <row r="605" spans="1:2" ht="13" x14ac:dyDescent="0.15">
      <c r="A605" s="4">
        <v>42212</v>
      </c>
      <c r="B605" s="1">
        <v>2067.64</v>
      </c>
    </row>
    <row r="606" spans="1:2" ht="13" x14ac:dyDescent="0.15">
      <c r="A606" s="4">
        <v>42213</v>
      </c>
      <c r="B606" s="1">
        <v>2093.25</v>
      </c>
    </row>
    <row r="607" spans="1:2" ht="13" x14ac:dyDescent="0.15">
      <c r="A607" s="4">
        <v>42214</v>
      </c>
      <c r="B607" s="1">
        <v>2108.5700000000002</v>
      </c>
    </row>
    <row r="608" spans="1:2" ht="13" x14ac:dyDescent="0.15">
      <c r="A608" s="4">
        <v>42215</v>
      </c>
      <c r="B608" s="1">
        <v>2108.63</v>
      </c>
    </row>
    <row r="609" spans="1:2" ht="13" x14ac:dyDescent="0.15">
      <c r="A609" s="4">
        <v>42216</v>
      </c>
      <c r="B609" s="1">
        <v>2103.84</v>
      </c>
    </row>
    <row r="610" spans="1:2" ht="13" x14ac:dyDescent="0.15">
      <c r="A610" s="4">
        <v>42219</v>
      </c>
      <c r="B610" s="1">
        <v>2098.04</v>
      </c>
    </row>
    <row r="611" spans="1:2" ht="13" x14ac:dyDescent="0.15">
      <c r="A611" s="4">
        <v>42220</v>
      </c>
      <c r="B611" s="1">
        <v>2093.3200000000002</v>
      </c>
    </row>
    <row r="612" spans="1:2" ht="13" x14ac:dyDescent="0.15">
      <c r="A612" s="4">
        <v>42221</v>
      </c>
      <c r="B612" s="1">
        <v>2099.84</v>
      </c>
    </row>
    <row r="613" spans="1:2" ht="13" x14ac:dyDescent="0.15">
      <c r="A613" s="4">
        <v>42222</v>
      </c>
      <c r="B613" s="1">
        <v>2083.56</v>
      </c>
    </row>
    <row r="614" spans="1:2" ht="13" x14ac:dyDescent="0.15">
      <c r="A614" s="4">
        <v>42223</v>
      </c>
      <c r="B614" s="1">
        <v>2077.5700000000002</v>
      </c>
    </row>
    <row r="615" spans="1:2" ht="13" x14ac:dyDescent="0.15">
      <c r="A615" s="4">
        <v>42226</v>
      </c>
      <c r="B615" s="1">
        <v>2104.1799999999998</v>
      </c>
    </row>
    <row r="616" spans="1:2" ht="13" x14ac:dyDescent="0.15">
      <c r="A616" s="4">
        <v>42227</v>
      </c>
      <c r="B616" s="1">
        <v>2084.0700000000002</v>
      </c>
    </row>
    <row r="617" spans="1:2" ht="13" x14ac:dyDescent="0.15">
      <c r="A617" s="4">
        <v>42228</v>
      </c>
      <c r="B617" s="1">
        <v>2086.0500000000002</v>
      </c>
    </row>
    <row r="618" spans="1:2" ht="13" x14ac:dyDescent="0.15">
      <c r="A618" s="4">
        <v>42229</v>
      </c>
      <c r="B618" s="1">
        <v>2083.39</v>
      </c>
    </row>
    <row r="619" spans="1:2" ht="13" x14ac:dyDescent="0.15">
      <c r="A619" s="4">
        <v>42230</v>
      </c>
      <c r="B619" s="1">
        <v>2091.54</v>
      </c>
    </row>
    <row r="620" spans="1:2" ht="13" x14ac:dyDescent="0.15">
      <c r="A620" s="4">
        <v>42233</v>
      </c>
      <c r="B620" s="1">
        <v>2102.44</v>
      </c>
    </row>
    <row r="621" spans="1:2" ht="13" x14ac:dyDescent="0.15">
      <c r="A621" s="4">
        <v>42234</v>
      </c>
      <c r="B621" s="1">
        <v>2096.92</v>
      </c>
    </row>
    <row r="622" spans="1:2" ht="13" x14ac:dyDescent="0.15">
      <c r="A622" s="4">
        <v>42235</v>
      </c>
      <c r="B622" s="1">
        <v>2079.61</v>
      </c>
    </row>
    <row r="623" spans="1:2" ht="13" x14ac:dyDescent="0.15">
      <c r="A623" s="4">
        <v>42236</v>
      </c>
      <c r="B623" s="1">
        <v>2035.73</v>
      </c>
    </row>
    <row r="624" spans="1:2" ht="13" x14ac:dyDescent="0.15">
      <c r="A624" s="4">
        <v>42237</v>
      </c>
      <c r="B624" s="1">
        <v>1970.89</v>
      </c>
    </row>
    <row r="625" spans="1:2" ht="13" x14ac:dyDescent="0.15">
      <c r="A625" s="4">
        <v>42240</v>
      </c>
      <c r="B625" s="1">
        <v>1893.21</v>
      </c>
    </row>
    <row r="626" spans="1:2" ht="13" x14ac:dyDescent="0.15">
      <c r="A626" s="4">
        <v>42241</v>
      </c>
      <c r="B626" s="1">
        <v>1867.61</v>
      </c>
    </row>
    <row r="627" spans="1:2" ht="13" x14ac:dyDescent="0.15">
      <c r="A627" s="4">
        <v>42242</v>
      </c>
      <c r="B627" s="1">
        <v>1940.51</v>
      </c>
    </row>
    <row r="628" spans="1:2" ht="13" x14ac:dyDescent="0.15">
      <c r="A628" s="4">
        <v>42243</v>
      </c>
      <c r="B628" s="1">
        <v>1987.66</v>
      </c>
    </row>
    <row r="629" spans="1:2" ht="13" x14ac:dyDescent="0.15">
      <c r="A629" s="4">
        <v>42244</v>
      </c>
      <c r="B629" s="1">
        <v>1988.87</v>
      </c>
    </row>
    <row r="630" spans="1:2" ht="13" x14ac:dyDescent="0.15">
      <c r="A630" s="4">
        <v>42247</v>
      </c>
      <c r="B630" s="1">
        <v>1972.18</v>
      </c>
    </row>
    <row r="631" spans="1:2" ht="13" x14ac:dyDescent="0.15">
      <c r="A631" s="4">
        <v>42248</v>
      </c>
      <c r="B631" s="1">
        <v>1913.85</v>
      </c>
    </row>
    <row r="632" spans="1:2" ht="13" x14ac:dyDescent="0.15">
      <c r="A632" s="4">
        <v>42249</v>
      </c>
      <c r="B632" s="1">
        <v>1948.86</v>
      </c>
    </row>
    <row r="633" spans="1:2" ht="13" x14ac:dyDescent="0.15">
      <c r="A633" s="4">
        <v>42250</v>
      </c>
      <c r="B633" s="1">
        <v>1951.13</v>
      </c>
    </row>
    <row r="634" spans="1:2" ht="13" x14ac:dyDescent="0.15">
      <c r="A634" s="4">
        <v>42251</v>
      </c>
      <c r="B634" s="1">
        <v>1921.22</v>
      </c>
    </row>
    <row r="635" spans="1:2" ht="13" x14ac:dyDescent="0.15">
      <c r="A635" s="4">
        <v>42255</v>
      </c>
      <c r="B635" s="1">
        <v>1969.41</v>
      </c>
    </row>
    <row r="636" spans="1:2" ht="13" x14ac:dyDescent="0.15">
      <c r="A636" s="4">
        <v>42256</v>
      </c>
      <c r="B636" s="1">
        <v>1942.04</v>
      </c>
    </row>
    <row r="637" spans="1:2" ht="13" x14ac:dyDescent="0.15">
      <c r="A637" s="4">
        <v>42257</v>
      </c>
      <c r="B637" s="1">
        <v>1952.29</v>
      </c>
    </row>
    <row r="638" spans="1:2" ht="13" x14ac:dyDescent="0.15">
      <c r="A638" s="4">
        <v>42258</v>
      </c>
      <c r="B638" s="1">
        <v>1961.05</v>
      </c>
    </row>
    <row r="639" spans="1:2" ht="13" x14ac:dyDescent="0.15">
      <c r="A639" s="4">
        <v>42261</v>
      </c>
      <c r="B639" s="1">
        <v>1953.03</v>
      </c>
    </row>
    <row r="640" spans="1:2" ht="13" x14ac:dyDescent="0.15">
      <c r="A640" s="4">
        <v>42262</v>
      </c>
      <c r="B640" s="1">
        <v>1978.09</v>
      </c>
    </row>
    <row r="641" spans="1:2" ht="13" x14ac:dyDescent="0.15">
      <c r="A641" s="4">
        <v>42263</v>
      </c>
      <c r="B641" s="1">
        <v>1995.31</v>
      </c>
    </row>
    <row r="642" spans="1:2" ht="13" x14ac:dyDescent="0.15">
      <c r="A642" s="4">
        <v>42264</v>
      </c>
      <c r="B642" s="1">
        <v>1990.2</v>
      </c>
    </row>
    <row r="643" spans="1:2" ht="13" x14ac:dyDescent="0.15">
      <c r="A643" s="4">
        <v>42265</v>
      </c>
      <c r="B643" s="1">
        <v>1958.03</v>
      </c>
    </row>
    <row r="644" spans="1:2" ht="13" x14ac:dyDescent="0.15">
      <c r="A644" s="4">
        <v>42268</v>
      </c>
      <c r="B644" s="1">
        <v>1966.97</v>
      </c>
    </row>
    <row r="645" spans="1:2" ht="13" x14ac:dyDescent="0.15">
      <c r="A645" s="4">
        <v>42269</v>
      </c>
      <c r="B645" s="1">
        <v>1942.74</v>
      </c>
    </row>
    <row r="646" spans="1:2" ht="13" x14ac:dyDescent="0.15">
      <c r="A646" s="4">
        <v>42270</v>
      </c>
      <c r="B646" s="1">
        <v>1938.76</v>
      </c>
    </row>
    <row r="647" spans="1:2" ht="13" x14ac:dyDescent="0.15">
      <c r="A647" s="4">
        <v>42271</v>
      </c>
      <c r="B647" s="1">
        <v>1932.24</v>
      </c>
    </row>
    <row r="648" spans="1:2" ht="13" x14ac:dyDescent="0.15">
      <c r="A648" s="4">
        <v>42272</v>
      </c>
      <c r="B648" s="1">
        <v>1931.34</v>
      </c>
    </row>
    <row r="649" spans="1:2" ht="13" x14ac:dyDescent="0.15">
      <c r="A649" s="4">
        <v>42275</v>
      </c>
      <c r="B649" s="1">
        <v>1881.77</v>
      </c>
    </row>
    <row r="650" spans="1:2" ht="13" x14ac:dyDescent="0.15">
      <c r="A650" s="4">
        <v>42276</v>
      </c>
      <c r="B650" s="1">
        <v>1884.09</v>
      </c>
    </row>
    <row r="651" spans="1:2" ht="13" x14ac:dyDescent="0.15">
      <c r="A651" s="4">
        <v>42277</v>
      </c>
      <c r="B651" s="1">
        <v>1920.03</v>
      </c>
    </row>
    <row r="652" spans="1:2" ht="13" x14ac:dyDescent="0.15">
      <c r="A652" s="4">
        <v>42278</v>
      </c>
      <c r="B652" s="1">
        <v>1923.82</v>
      </c>
    </row>
    <row r="653" spans="1:2" ht="13" x14ac:dyDescent="0.15">
      <c r="A653" s="4">
        <v>42279</v>
      </c>
      <c r="B653" s="1">
        <v>1951.36</v>
      </c>
    </row>
    <row r="654" spans="1:2" ht="13" x14ac:dyDescent="0.15">
      <c r="A654" s="4">
        <v>42282</v>
      </c>
      <c r="B654" s="1">
        <v>1987.05</v>
      </c>
    </row>
    <row r="655" spans="1:2" ht="13" x14ac:dyDescent="0.15">
      <c r="A655" s="4">
        <v>42283</v>
      </c>
      <c r="B655" s="1">
        <v>1979.92</v>
      </c>
    </row>
    <row r="656" spans="1:2" ht="13" x14ac:dyDescent="0.15">
      <c r="A656" s="4">
        <v>42284</v>
      </c>
      <c r="B656" s="1">
        <v>1995.83</v>
      </c>
    </row>
    <row r="657" spans="1:2" ht="13" x14ac:dyDescent="0.15">
      <c r="A657" s="4">
        <v>42285</v>
      </c>
      <c r="B657" s="1">
        <v>2013.43</v>
      </c>
    </row>
    <row r="658" spans="1:2" ht="13" x14ac:dyDescent="0.15">
      <c r="A658" s="4">
        <v>42286</v>
      </c>
      <c r="B658" s="1">
        <v>2014.89</v>
      </c>
    </row>
    <row r="659" spans="1:2" ht="13" x14ac:dyDescent="0.15">
      <c r="A659" s="4">
        <v>42289</v>
      </c>
      <c r="B659" s="1">
        <v>2017.46</v>
      </c>
    </row>
    <row r="660" spans="1:2" ht="13" x14ac:dyDescent="0.15">
      <c r="A660" s="4">
        <v>42290</v>
      </c>
      <c r="B660" s="1">
        <v>2003.69</v>
      </c>
    </row>
    <row r="661" spans="1:2" ht="13" x14ac:dyDescent="0.15">
      <c r="A661" s="4">
        <v>42291</v>
      </c>
      <c r="B661" s="1">
        <v>1994.24</v>
      </c>
    </row>
    <row r="662" spans="1:2" ht="13" x14ac:dyDescent="0.15">
      <c r="A662" s="4">
        <v>42292</v>
      </c>
      <c r="B662" s="1">
        <v>2023.86</v>
      </c>
    </row>
    <row r="663" spans="1:2" ht="13" x14ac:dyDescent="0.15">
      <c r="A663" s="4">
        <v>42293</v>
      </c>
      <c r="B663" s="1">
        <v>2033.11</v>
      </c>
    </row>
    <row r="664" spans="1:2" ht="13" x14ac:dyDescent="0.15">
      <c r="A664" s="4">
        <v>42296</v>
      </c>
      <c r="B664" s="1">
        <v>2033.66</v>
      </c>
    </row>
    <row r="665" spans="1:2" ht="13" x14ac:dyDescent="0.15">
      <c r="A665" s="4">
        <v>42297</v>
      </c>
      <c r="B665" s="1">
        <v>2030.77</v>
      </c>
    </row>
    <row r="666" spans="1:2" ht="13" x14ac:dyDescent="0.15">
      <c r="A666" s="4">
        <v>42298</v>
      </c>
      <c r="B666" s="1">
        <v>2018.94</v>
      </c>
    </row>
    <row r="667" spans="1:2" ht="13" x14ac:dyDescent="0.15">
      <c r="A667" s="4">
        <v>42299</v>
      </c>
      <c r="B667" s="1">
        <v>2052.5100000000002</v>
      </c>
    </row>
    <row r="668" spans="1:2" ht="13" x14ac:dyDescent="0.15">
      <c r="A668" s="4">
        <v>42300</v>
      </c>
      <c r="B668" s="1">
        <v>2075.15</v>
      </c>
    </row>
    <row r="669" spans="1:2" ht="13" x14ac:dyDescent="0.15">
      <c r="A669" s="4">
        <v>42303</v>
      </c>
      <c r="B669" s="1">
        <v>2071.1799999999998</v>
      </c>
    </row>
    <row r="670" spans="1:2" ht="13" x14ac:dyDescent="0.15">
      <c r="A670" s="4">
        <v>42304</v>
      </c>
      <c r="B670" s="1">
        <v>2065.89</v>
      </c>
    </row>
    <row r="671" spans="1:2" ht="13" x14ac:dyDescent="0.15">
      <c r="A671" s="4">
        <v>42305</v>
      </c>
      <c r="B671" s="1">
        <v>2090.35</v>
      </c>
    </row>
    <row r="672" spans="1:2" ht="13" x14ac:dyDescent="0.15">
      <c r="A672" s="4">
        <v>42306</v>
      </c>
      <c r="B672" s="1">
        <v>2089.41</v>
      </c>
    </row>
    <row r="673" spans="1:2" ht="13" x14ac:dyDescent="0.15">
      <c r="A673" s="4">
        <v>42307</v>
      </c>
      <c r="B673" s="1">
        <v>2079.36</v>
      </c>
    </row>
    <row r="674" spans="1:2" ht="13" x14ac:dyDescent="0.15">
      <c r="A674" s="4">
        <v>42310</v>
      </c>
      <c r="B674" s="1">
        <v>2104.0500000000002</v>
      </c>
    </row>
    <row r="675" spans="1:2" ht="13" x14ac:dyDescent="0.15">
      <c r="A675" s="4">
        <v>42311</v>
      </c>
      <c r="B675" s="1">
        <v>2109.79</v>
      </c>
    </row>
    <row r="676" spans="1:2" ht="13" x14ac:dyDescent="0.15">
      <c r="A676" s="4">
        <v>42312</v>
      </c>
      <c r="B676" s="1">
        <v>2102.31</v>
      </c>
    </row>
    <row r="677" spans="1:2" ht="13" x14ac:dyDescent="0.15">
      <c r="A677" s="4">
        <v>42313</v>
      </c>
      <c r="B677" s="1">
        <v>2099.9299999999998</v>
      </c>
    </row>
    <row r="678" spans="1:2" ht="13" x14ac:dyDescent="0.15">
      <c r="A678" s="4">
        <v>42314</v>
      </c>
      <c r="B678" s="1">
        <v>2099.1999999999998</v>
      </c>
    </row>
    <row r="679" spans="1:2" ht="13" x14ac:dyDescent="0.15">
      <c r="A679" s="4">
        <v>42317</v>
      </c>
      <c r="B679" s="1">
        <v>2078.58</v>
      </c>
    </row>
    <row r="680" spans="1:2" ht="13" x14ac:dyDescent="0.15">
      <c r="A680" s="4">
        <v>42318</v>
      </c>
      <c r="B680" s="1">
        <v>2081.7199999999998</v>
      </c>
    </row>
    <row r="681" spans="1:2" ht="13" x14ac:dyDescent="0.15">
      <c r="A681" s="4">
        <v>42319</v>
      </c>
      <c r="B681" s="1">
        <v>2075</v>
      </c>
    </row>
    <row r="682" spans="1:2" ht="13" x14ac:dyDescent="0.15">
      <c r="A682" s="4">
        <v>42320</v>
      </c>
      <c r="B682" s="1">
        <v>2045.97</v>
      </c>
    </row>
    <row r="683" spans="1:2" ht="13" x14ac:dyDescent="0.15">
      <c r="A683" s="4">
        <v>42321</v>
      </c>
      <c r="B683" s="1">
        <v>2023.04</v>
      </c>
    </row>
    <row r="684" spans="1:2" ht="13" x14ac:dyDescent="0.15">
      <c r="A684" s="4">
        <v>42324</v>
      </c>
      <c r="B684" s="1">
        <v>2053.19</v>
      </c>
    </row>
    <row r="685" spans="1:2" ht="13" x14ac:dyDescent="0.15">
      <c r="A685" s="4">
        <v>42325</v>
      </c>
      <c r="B685" s="1">
        <v>2050.44</v>
      </c>
    </row>
    <row r="686" spans="1:2" ht="13" x14ac:dyDescent="0.15">
      <c r="A686" s="4">
        <v>42326</v>
      </c>
      <c r="B686" s="1">
        <v>2083.58</v>
      </c>
    </row>
    <row r="687" spans="1:2" ht="13" x14ac:dyDescent="0.15">
      <c r="A687" s="4">
        <v>42327</v>
      </c>
      <c r="B687" s="1">
        <v>2081.2399999999998</v>
      </c>
    </row>
    <row r="688" spans="1:2" ht="13" x14ac:dyDescent="0.15">
      <c r="A688" s="4">
        <v>42328</v>
      </c>
      <c r="B688" s="1">
        <v>2089.17</v>
      </c>
    </row>
    <row r="689" spans="1:2" ht="13" x14ac:dyDescent="0.15">
      <c r="A689" s="4">
        <v>42331</v>
      </c>
      <c r="B689" s="1">
        <v>2086.59</v>
      </c>
    </row>
    <row r="690" spans="1:2" ht="13" x14ac:dyDescent="0.15">
      <c r="A690" s="4">
        <v>42332</v>
      </c>
      <c r="B690" s="1">
        <v>2089.14</v>
      </c>
    </row>
    <row r="691" spans="1:2" ht="13" x14ac:dyDescent="0.15">
      <c r="A691" s="4">
        <v>42333</v>
      </c>
      <c r="B691" s="1">
        <v>2088.87</v>
      </c>
    </row>
    <row r="692" spans="1:2" ht="13" x14ac:dyDescent="0.15">
      <c r="A692" s="4">
        <v>42335</v>
      </c>
      <c r="B692" s="1">
        <v>2090.11</v>
      </c>
    </row>
    <row r="693" spans="1:2" ht="13" x14ac:dyDescent="0.15">
      <c r="A693" s="4">
        <v>42338</v>
      </c>
      <c r="B693" s="1">
        <v>2080.41</v>
      </c>
    </row>
    <row r="694" spans="1:2" ht="13" x14ac:dyDescent="0.15">
      <c r="A694" s="4">
        <v>42339</v>
      </c>
      <c r="B694" s="1">
        <v>2102.63</v>
      </c>
    </row>
    <row r="695" spans="1:2" ht="13" x14ac:dyDescent="0.15">
      <c r="A695" s="4">
        <v>42340</v>
      </c>
      <c r="B695" s="1">
        <v>2079.5100000000002</v>
      </c>
    </row>
    <row r="696" spans="1:2" ht="13" x14ac:dyDescent="0.15">
      <c r="A696" s="4">
        <v>42341</v>
      </c>
      <c r="B696" s="1">
        <v>2049.62</v>
      </c>
    </row>
    <row r="697" spans="1:2" ht="13" x14ac:dyDescent="0.15">
      <c r="A697" s="4">
        <v>42342</v>
      </c>
      <c r="B697" s="1">
        <v>2091.69</v>
      </c>
    </row>
    <row r="698" spans="1:2" ht="13" x14ac:dyDescent="0.15">
      <c r="A698" s="4">
        <v>42345</v>
      </c>
      <c r="B698" s="1">
        <v>2077.0700000000002</v>
      </c>
    </row>
    <row r="699" spans="1:2" ht="13" x14ac:dyDescent="0.15">
      <c r="A699" s="4">
        <v>42346</v>
      </c>
      <c r="B699" s="1">
        <v>2063.59</v>
      </c>
    </row>
    <row r="700" spans="1:2" ht="13" x14ac:dyDescent="0.15">
      <c r="A700" s="4">
        <v>42347</v>
      </c>
      <c r="B700" s="1">
        <v>2047.62</v>
      </c>
    </row>
    <row r="701" spans="1:2" ht="13" x14ac:dyDescent="0.15">
      <c r="A701" s="4">
        <v>42348</v>
      </c>
      <c r="B701" s="1">
        <v>2052.23</v>
      </c>
    </row>
    <row r="702" spans="1:2" ht="13" x14ac:dyDescent="0.15">
      <c r="A702" s="4">
        <v>42349</v>
      </c>
      <c r="B702" s="1">
        <v>2012.37</v>
      </c>
    </row>
    <row r="703" spans="1:2" ht="13" x14ac:dyDescent="0.15">
      <c r="A703" s="4">
        <v>42352</v>
      </c>
      <c r="B703" s="1">
        <v>2021.94</v>
      </c>
    </row>
    <row r="704" spans="1:2" ht="13" x14ac:dyDescent="0.15">
      <c r="A704" s="4">
        <v>42353</v>
      </c>
      <c r="B704" s="1">
        <v>2043.41</v>
      </c>
    </row>
    <row r="705" spans="1:2" ht="13" x14ac:dyDescent="0.15">
      <c r="A705" s="4">
        <v>42354</v>
      </c>
      <c r="B705" s="1">
        <v>2073.0700000000002</v>
      </c>
    </row>
    <row r="706" spans="1:2" ht="13" x14ac:dyDescent="0.15">
      <c r="A706" s="4">
        <v>42355</v>
      </c>
      <c r="B706" s="1">
        <v>2041.89</v>
      </c>
    </row>
    <row r="707" spans="1:2" ht="13" x14ac:dyDescent="0.15">
      <c r="A707" s="4">
        <v>42356</v>
      </c>
      <c r="B707" s="1">
        <v>2005.55</v>
      </c>
    </row>
    <row r="708" spans="1:2" ht="13" x14ac:dyDescent="0.15">
      <c r="A708" s="4">
        <v>42359</v>
      </c>
      <c r="B708" s="1">
        <v>2021.15</v>
      </c>
    </row>
    <row r="709" spans="1:2" ht="13" x14ac:dyDescent="0.15">
      <c r="A709" s="4">
        <v>42360</v>
      </c>
      <c r="B709" s="1">
        <v>2038.97</v>
      </c>
    </row>
    <row r="710" spans="1:2" ht="13" x14ac:dyDescent="0.15">
      <c r="A710" s="4">
        <v>42361</v>
      </c>
      <c r="B710" s="1">
        <v>2064.29</v>
      </c>
    </row>
    <row r="711" spans="1:2" ht="13" x14ac:dyDescent="0.15">
      <c r="A711" s="4">
        <v>42362</v>
      </c>
      <c r="B711" s="1">
        <v>2060.9899999999998</v>
      </c>
    </row>
    <row r="712" spans="1:2" ht="13" x14ac:dyDescent="0.15">
      <c r="A712" s="4">
        <v>42366</v>
      </c>
      <c r="B712" s="1">
        <v>2056.5</v>
      </c>
    </row>
    <row r="713" spans="1:2" ht="13" x14ac:dyDescent="0.15">
      <c r="A713" s="4">
        <v>42367</v>
      </c>
      <c r="B713" s="1">
        <v>2078.36</v>
      </c>
    </row>
    <row r="714" spans="1:2" ht="13" x14ac:dyDescent="0.15">
      <c r="A714" s="4">
        <v>42368</v>
      </c>
      <c r="B714" s="1">
        <v>2063.36</v>
      </c>
    </row>
    <row r="715" spans="1:2" ht="13" x14ac:dyDescent="0.15">
      <c r="A715" s="4">
        <v>42369</v>
      </c>
      <c r="B715" s="1">
        <v>2043.94</v>
      </c>
    </row>
    <row r="716" spans="1:2" ht="13" x14ac:dyDescent="0.15">
      <c r="A716" s="4">
        <v>42373</v>
      </c>
      <c r="B716" s="1">
        <v>2012.66</v>
      </c>
    </row>
    <row r="717" spans="1:2" ht="13" x14ac:dyDescent="0.15">
      <c r="A717" s="4">
        <v>42374</v>
      </c>
      <c r="B717" s="1">
        <v>2016.71</v>
      </c>
    </row>
    <row r="718" spans="1:2" ht="13" x14ac:dyDescent="0.15">
      <c r="A718" s="4">
        <v>42375</v>
      </c>
      <c r="B718" s="1">
        <v>1990.26</v>
      </c>
    </row>
    <row r="719" spans="1:2" ht="13" x14ac:dyDescent="0.15">
      <c r="A719" s="4">
        <v>42376</v>
      </c>
      <c r="B719" s="1">
        <v>1943.09</v>
      </c>
    </row>
    <row r="720" spans="1:2" ht="13" x14ac:dyDescent="0.15">
      <c r="A720" s="4">
        <v>42377</v>
      </c>
      <c r="B720" s="1">
        <v>1922.03</v>
      </c>
    </row>
    <row r="721" spans="1:2" ht="13" x14ac:dyDescent="0.15">
      <c r="A721" s="4">
        <v>42380</v>
      </c>
      <c r="B721" s="1">
        <v>1923.67</v>
      </c>
    </row>
    <row r="722" spans="1:2" ht="13" x14ac:dyDescent="0.15">
      <c r="A722" s="4">
        <v>42381</v>
      </c>
      <c r="B722" s="1">
        <v>1938.68</v>
      </c>
    </row>
    <row r="723" spans="1:2" ht="13" x14ac:dyDescent="0.15">
      <c r="A723" s="4">
        <v>42382</v>
      </c>
      <c r="B723" s="1">
        <v>1890.28</v>
      </c>
    </row>
    <row r="724" spans="1:2" ht="13" x14ac:dyDescent="0.15">
      <c r="A724" s="4">
        <v>42383</v>
      </c>
      <c r="B724" s="1">
        <v>1921.84</v>
      </c>
    </row>
    <row r="725" spans="1:2" ht="13" x14ac:dyDescent="0.15">
      <c r="A725" s="4">
        <v>42384</v>
      </c>
      <c r="B725" s="1">
        <v>1880.33</v>
      </c>
    </row>
    <row r="726" spans="1:2" ht="13" x14ac:dyDescent="0.15">
      <c r="A726" s="4">
        <v>42388</v>
      </c>
      <c r="B726" s="1">
        <v>1881.33</v>
      </c>
    </row>
    <row r="727" spans="1:2" ht="13" x14ac:dyDescent="0.15">
      <c r="A727" s="4">
        <v>42389</v>
      </c>
      <c r="B727" s="1">
        <v>1859.33</v>
      </c>
    </row>
    <row r="728" spans="1:2" ht="13" x14ac:dyDescent="0.15">
      <c r="A728" s="4">
        <v>42390</v>
      </c>
      <c r="B728" s="1">
        <v>1868.99</v>
      </c>
    </row>
    <row r="729" spans="1:2" ht="13" x14ac:dyDescent="0.15">
      <c r="A729" s="4">
        <v>42391</v>
      </c>
      <c r="B729" s="1">
        <v>1906.9</v>
      </c>
    </row>
    <row r="730" spans="1:2" ht="13" x14ac:dyDescent="0.15">
      <c r="A730" s="4">
        <v>42394</v>
      </c>
      <c r="B730" s="1">
        <v>1877.08</v>
      </c>
    </row>
    <row r="731" spans="1:2" ht="13" x14ac:dyDescent="0.15">
      <c r="A731" s="4">
        <v>42395</v>
      </c>
      <c r="B731" s="1">
        <v>1903.63</v>
      </c>
    </row>
    <row r="732" spans="1:2" ht="13" x14ac:dyDescent="0.15">
      <c r="A732" s="4">
        <v>42396</v>
      </c>
      <c r="B732" s="1">
        <v>1882.95</v>
      </c>
    </row>
    <row r="733" spans="1:2" ht="13" x14ac:dyDescent="0.15">
      <c r="A733" s="4">
        <v>42397</v>
      </c>
      <c r="B733" s="1">
        <v>1893.36</v>
      </c>
    </row>
    <row r="734" spans="1:2" ht="13" x14ac:dyDescent="0.15">
      <c r="A734" s="4">
        <v>42398</v>
      </c>
      <c r="B734" s="1">
        <v>1940.24</v>
      </c>
    </row>
    <row r="735" spans="1:2" ht="13" x14ac:dyDescent="0.15">
      <c r="A735" s="4">
        <v>42401</v>
      </c>
      <c r="B735" s="1">
        <v>1939.38</v>
      </c>
    </row>
    <row r="736" spans="1:2" ht="13" x14ac:dyDescent="0.15">
      <c r="A736" s="4">
        <v>42402</v>
      </c>
      <c r="B736" s="1">
        <v>1903.03</v>
      </c>
    </row>
    <row r="737" spans="1:2" ht="13" x14ac:dyDescent="0.15">
      <c r="A737" s="4">
        <v>42403</v>
      </c>
      <c r="B737" s="1">
        <v>1912.53</v>
      </c>
    </row>
    <row r="738" spans="1:2" ht="13" x14ac:dyDescent="0.15">
      <c r="A738" s="4">
        <v>42404</v>
      </c>
      <c r="B738" s="1">
        <v>1915.45</v>
      </c>
    </row>
    <row r="739" spans="1:2" ht="13" x14ac:dyDescent="0.15">
      <c r="A739" s="4">
        <v>42405</v>
      </c>
      <c r="B739" s="1">
        <v>1880.05</v>
      </c>
    </row>
    <row r="740" spans="1:2" ht="13" x14ac:dyDescent="0.15">
      <c r="A740" s="4">
        <v>42408</v>
      </c>
      <c r="B740" s="1">
        <v>1853.44</v>
      </c>
    </row>
    <row r="741" spans="1:2" ht="13" x14ac:dyDescent="0.15">
      <c r="A741" s="4">
        <v>42409</v>
      </c>
      <c r="B741" s="1">
        <v>1852.21</v>
      </c>
    </row>
    <row r="742" spans="1:2" ht="13" x14ac:dyDescent="0.15">
      <c r="A742" s="4">
        <v>42410</v>
      </c>
      <c r="B742" s="1">
        <v>1851.86</v>
      </c>
    </row>
    <row r="743" spans="1:2" ht="13" x14ac:dyDescent="0.15">
      <c r="A743" s="4">
        <v>42411</v>
      </c>
      <c r="B743" s="1">
        <v>1829.08</v>
      </c>
    </row>
    <row r="744" spans="1:2" ht="13" x14ac:dyDescent="0.15">
      <c r="A744" s="4">
        <v>42412</v>
      </c>
      <c r="B744" s="1">
        <v>1864.78</v>
      </c>
    </row>
    <row r="745" spans="1:2" ht="13" x14ac:dyDescent="0.15">
      <c r="A745" s="4">
        <v>42416</v>
      </c>
      <c r="B745" s="1">
        <v>1895.58</v>
      </c>
    </row>
    <row r="746" spans="1:2" ht="13" x14ac:dyDescent="0.15">
      <c r="A746" s="4">
        <v>42417</v>
      </c>
      <c r="B746" s="1">
        <v>1926.82</v>
      </c>
    </row>
    <row r="747" spans="1:2" ht="13" x14ac:dyDescent="0.15">
      <c r="A747" s="4">
        <v>42418</v>
      </c>
      <c r="B747" s="1">
        <v>1917.83</v>
      </c>
    </row>
    <row r="748" spans="1:2" ht="13" x14ac:dyDescent="0.15">
      <c r="A748" s="4">
        <v>42419</v>
      </c>
      <c r="B748" s="1">
        <v>1917.78</v>
      </c>
    </row>
    <row r="749" spans="1:2" ht="13" x14ac:dyDescent="0.15">
      <c r="A749" s="4">
        <v>42422</v>
      </c>
      <c r="B749" s="1">
        <v>1945.5</v>
      </c>
    </row>
    <row r="750" spans="1:2" ht="13" x14ac:dyDescent="0.15">
      <c r="A750" s="4">
        <v>42423</v>
      </c>
      <c r="B750" s="1">
        <v>1921.27</v>
      </c>
    </row>
    <row r="751" spans="1:2" ht="13" x14ac:dyDescent="0.15">
      <c r="A751" s="4">
        <v>42424</v>
      </c>
      <c r="B751" s="1">
        <v>1929.8</v>
      </c>
    </row>
    <row r="752" spans="1:2" ht="13" x14ac:dyDescent="0.15">
      <c r="A752" s="4">
        <v>42425</v>
      </c>
      <c r="B752" s="1">
        <v>1951.7</v>
      </c>
    </row>
    <row r="753" spans="1:2" ht="13" x14ac:dyDescent="0.15">
      <c r="A753" s="4">
        <v>42426</v>
      </c>
      <c r="B753" s="1">
        <v>1948.05</v>
      </c>
    </row>
    <row r="754" spans="1:2" ht="13" x14ac:dyDescent="0.15">
      <c r="A754" s="4">
        <v>42429</v>
      </c>
      <c r="B754" s="1">
        <v>1932.23</v>
      </c>
    </row>
    <row r="755" spans="1:2" ht="13" x14ac:dyDescent="0.15">
      <c r="A755" s="4">
        <v>42430</v>
      </c>
      <c r="B755" s="1">
        <v>1978.35</v>
      </c>
    </row>
    <row r="756" spans="1:2" ht="13" x14ac:dyDescent="0.15">
      <c r="A756" s="4">
        <v>42431</v>
      </c>
      <c r="B756" s="1">
        <v>1986.45</v>
      </c>
    </row>
    <row r="757" spans="1:2" ht="13" x14ac:dyDescent="0.15">
      <c r="A757" s="4">
        <v>42432</v>
      </c>
      <c r="B757" s="1">
        <v>1993.4</v>
      </c>
    </row>
    <row r="758" spans="1:2" ht="13" x14ac:dyDescent="0.15">
      <c r="A758" s="4">
        <v>42433</v>
      </c>
      <c r="B758" s="1">
        <v>1999.99</v>
      </c>
    </row>
    <row r="759" spans="1:2" ht="13" x14ac:dyDescent="0.15">
      <c r="A759" s="4">
        <v>42436</v>
      </c>
      <c r="B759" s="1">
        <v>2001.76</v>
      </c>
    </row>
    <row r="760" spans="1:2" ht="13" x14ac:dyDescent="0.15">
      <c r="A760" s="4">
        <v>42437</v>
      </c>
      <c r="B760" s="1">
        <v>1979.26</v>
      </c>
    </row>
    <row r="761" spans="1:2" ht="13" x14ac:dyDescent="0.15">
      <c r="A761" s="4">
        <v>42438</v>
      </c>
      <c r="B761" s="1">
        <v>1989.26</v>
      </c>
    </row>
    <row r="762" spans="1:2" ht="13" x14ac:dyDescent="0.15">
      <c r="A762" s="4">
        <v>42439</v>
      </c>
      <c r="B762" s="1">
        <v>1989.57</v>
      </c>
    </row>
    <row r="763" spans="1:2" ht="13" x14ac:dyDescent="0.15">
      <c r="A763" s="4">
        <v>42440</v>
      </c>
      <c r="B763" s="1">
        <v>2022.19</v>
      </c>
    </row>
    <row r="764" spans="1:2" ht="13" x14ac:dyDescent="0.15">
      <c r="A764" s="4">
        <v>42443</v>
      </c>
      <c r="B764" s="1">
        <v>2019.64</v>
      </c>
    </row>
    <row r="765" spans="1:2" ht="13" x14ac:dyDescent="0.15">
      <c r="A765" s="4">
        <v>42444</v>
      </c>
      <c r="B765" s="1">
        <v>2015.93</v>
      </c>
    </row>
    <row r="766" spans="1:2" ht="13" x14ac:dyDescent="0.15">
      <c r="A766" s="4">
        <v>42445</v>
      </c>
      <c r="B766" s="1">
        <v>2027.22</v>
      </c>
    </row>
    <row r="767" spans="1:2" ht="13" x14ac:dyDescent="0.15">
      <c r="A767" s="4">
        <v>42446</v>
      </c>
      <c r="B767" s="1">
        <v>2040.59</v>
      </c>
    </row>
    <row r="768" spans="1:2" ht="13" x14ac:dyDescent="0.15">
      <c r="A768" s="4">
        <v>42447</v>
      </c>
      <c r="B768" s="1">
        <v>2049.58</v>
      </c>
    </row>
    <row r="769" spans="1:2" ht="13" x14ac:dyDescent="0.15">
      <c r="A769" s="4">
        <v>42450</v>
      </c>
      <c r="B769" s="1">
        <v>2051.6</v>
      </c>
    </row>
    <row r="770" spans="1:2" ht="13" x14ac:dyDescent="0.15">
      <c r="A770" s="4">
        <v>42451</v>
      </c>
      <c r="B770" s="1">
        <v>2049.8000000000002</v>
      </c>
    </row>
    <row r="771" spans="1:2" ht="13" x14ac:dyDescent="0.15">
      <c r="A771" s="4">
        <v>42452</v>
      </c>
      <c r="B771" s="1">
        <v>2036.71</v>
      </c>
    </row>
    <row r="772" spans="1:2" ht="13" x14ac:dyDescent="0.15">
      <c r="A772" s="4">
        <v>42453</v>
      </c>
      <c r="B772" s="1">
        <v>2035.94</v>
      </c>
    </row>
    <row r="773" spans="1:2" ht="13" x14ac:dyDescent="0.15">
      <c r="A773" s="4">
        <v>42457</v>
      </c>
      <c r="B773" s="1">
        <v>2037.05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SPY_Zika_AM</vt:lpstr>
      <vt:lpstr>SPY_H1N1_AM</vt:lpstr>
      <vt:lpstr>SPY_SARS_AM</vt:lpstr>
      <vt:lpstr>SPY_Ebola_AM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2020-02-04T07:13:53Z</dcterms:created>
  <dcterms:modified xsi:type="dcterms:W3CDTF">2020-02-04T07:17:34Z</dcterms:modified>
</cp:coreProperties>
</file>