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_xo/learn/py/finance/"/>
    </mc:Choice>
  </mc:AlternateContent>
  <xr:revisionPtr revIDLastSave="0" documentId="13_ncr:1_{F0B987D5-0320-3841-830C-41FA501624B3}" xr6:coauthVersionLast="47" xr6:coauthVersionMax="47" xr10:uidLastSave="{00000000-0000-0000-0000-000000000000}"/>
  <bookViews>
    <workbookView xWindow="2940" yWindow="540" windowWidth="25600" windowHeight="13420" activeTab="4" xr2:uid="{00000000-000D-0000-FFFF-FFFF00000000}"/>
  </bookViews>
  <sheets>
    <sheet name="复利" sheetId="2" r:id="rId1"/>
    <sheet name="估值指标" sheetId="6" r:id="rId2"/>
    <sheet name="指数阈值" sheetId="5" r:id="rId3"/>
    <sheet name="可转债" sheetId="3" r:id="rId4"/>
    <sheet name="网格" sheetId="7" r:id="rId5"/>
    <sheet name="期权" sheetId="4" r:id="rId6"/>
    <sheet name="房产计算" sheetId="1" r:id="rId7"/>
    <sheet name="贝叶斯" sheetId="8" r:id="rId8"/>
  </sheets>
  <definedNames>
    <definedName name="threashold" localSheetId="2">指数阈值!$A$1:$H$59</definedName>
  </definedNames>
  <calcPr calcId="19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7" l="1"/>
  <c r="D70" i="7"/>
  <c r="E69" i="7"/>
  <c r="D69" i="7"/>
  <c r="E68" i="7"/>
  <c r="D68" i="7"/>
  <c r="E67" i="7"/>
  <c r="F68" i="7" s="1"/>
  <c r="D67" i="7"/>
  <c r="H109" i="7"/>
  <c r="I109" i="7" s="1"/>
  <c r="H110" i="7"/>
  <c r="I110" i="7" s="1"/>
  <c r="H111" i="7"/>
  <c r="I111" i="7" s="1"/>
  <c r="H112" i="7"/>
  <c r="I112" i="7" s="1"/>
  <c r="H113" i="7"/>
  <c r="I113" i="7" s="1"/>
  <c r="H114" i="7"/>
  <c r="I114" i="7" s="1"/>
  <c r="H101" i="7"/>
  <c r="I101" i="7" s="1"/>
  <c r="H102" i="7"/>
  <c r="I102" i="7" s="1"/>
  <c r="H103" i="7"/>
  <c r="I103" i="7" s="1"/>
  <c r="H104" i="7"/>
  <c r="I104" i="7" s="1"/>
  <c r="H105" i="7"/>
  <c r="I105" i="7" s="1"/>
  <c r="H106" i="7"/>
  <c r="I106" i="7" s="1"/>
  <c r="H107" i="7"/>
  <c r="I107" i="7" s="1"/>
  <c r="H99" i="7"/>
  <c r="I99" i="7" s="1"/>
  <c r="H100" i="7"/>
  <c r="I100" i="7" s="1"/>
  <c r="E49" i="7"/>
  <c r="E50" i="7"/>
  <c r="E51" i="7"/>
  <c r="E48" i="7"/>
  <c r="F48" i="7" s="1"/>
  <c r="D49" i="7"/>
  <c r="D50" i="7"/>
  <c r="D51" i="7"/>
  <c r="D48" i="7"/>
  <c r="E88" i="7"/>
  <c r="D88" i="7"/>
  <c r="E87" i="7"/>
  <c r="D87" i="7"/>
  <c r="E86" i="7"/>
  <c r="D86" i="7"/>
  <c r="E85" i="7"/>
  <c r="D85" i="7"/>
  <c r="E84" i="7"/>
  <c r="F84" i="7" s="1"/>
  <c r="D84" i="7"/>
  <c r="B22" i="3"/>
  <c r="B23" i="3"/>
  <c r="B25" i="3"/>
  <c r="B26" i="3"/>
  <c r="B27" i="3"/>
  <c r="B28" i="3"/>
  <c r="B29" i="3"/>
  <c r="B24" i="3"/>
  <c r="E62" i="7"/>
  <c r="D62" i="7"/>
  <c r="E61" i="7"/>
  <c r="D61" i="7"/>
  <c r="E60" i="7"/>
  <c r="D60" i="7"/>
  <c r="E59" i="7"/>
  <c r="D59" i="7"/>
  <c r="G20" i="8"/>
  <c r="F20" i="8"/>
  <c r="C20" i="8"/>
  <c r="G16" i="8"/>
  <c r="F16" i="8"/>
  <c r="C16" i="8"/>
  <c r="B16" i="8"/>
  <c r="C15" i="8"/>
  <c r="F15" i="8" s="1"/>
  <c r="G15" i="8" s="1"/>
  <c r="E11" i="8"/>
  <c r="D11" i="8"/>
  <c r="C9" i="8"/>
  <c r="F9" i="8" s="1"/>
  <c r="G9" i="8" s="1"/>
  <c r="B11" i="8" s="1"/>
  <c r="D76" i="7"/>
  <c r="D77" i="7"/>
  <c r="D78" i="7"/>
  <c r="D75" i="7"/>
  <c r="H92" i="7"/>
  <c r="K92" i="7"/>
  <c r="M84" i="7"/>
  <c r="E76" i="7"/>
  <c r="E77" i="7"/>
  <c r="E78" i="7"/>
  <c r="E75" i="7"/>
  <c r="C47" i="6"/>
  <c r="B47" i="6"/>
  <c r="C45" i="6"/>
  <c r="D45" i="6"/>
  <c r="E45" i="6"/>
  <c r="F45" i="6"/>
  <c r="B45" i="6"/>
  <c r="M85" i="7"/>
  <c r="M86" i="7"/>
  <c r="H22" i="7"/>
  <c r="G22" i="7"/>
  <c r="H93" i="7"/>
  <c r="K93" i="7"/>
  <c r="D94" i="7"/>
  <c r="H94" i="7"/>
  <c r="K94" i="7"/>
  <c r="F20" i="7"/>
  <c r="H20" i="7" s="1"/>
  <c r="B26" i="7" s="1"/>
  <c r="F19" i="7"/>
  <c r="H19" i="7" s="1"/>
  <c r="B25" i="7" s="1"/>
  <c r="H54" i="7"/>
  <c r="K54" i="7"/>
  <c r="B39" i="6"/>
  <c r="D23" i="6"/>
  <c r="E23" i="6" s="1"/>
  <c r="F23" i="6" s="1"/>
  <c r="D24" i="6"/>
  <c r="E24" i="6" s="1"/>
  <c r="F24" i="6" s="1"/>
  <c r="D31" i="6"/>
  <c r="E31" i="6" s="1"/>
  <c r="F31" i="6" s="1"/>
  <c r="D21" i="6"/>
  <c r="E21" i="6" s="1"/>
  <c r="F21" i="6" s="1"/>
  <c r="D20" i="6"/>
  <c r="E20" i="6" s="1"/>
  <c r="F20" i="6" s="1"/>
  <c r="B23" i="6"/>
  <c r="B24" i="6"/>
  <c r="B25" i="6"/>
  <c r="B31" i="6"/>
  <c r="B21" i="6"/>
  <c r="B20" i="6"/>
  <c r="C22" i="6"/>
  <c r="D22" i="6" s="1"/>
  <c r="E22" i="6" s="1"/>
  <c r="F22" i="6" s="1"/>
  <c r="C23" i="6"/>
  <c r="C24" i="6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B29" i="6" s="1"/>
  <c r="C30" i="6"/>
  <c r="D30" i="6" s="1"/>
  <c r="E30" i="6" s="1"/>
  <c r="F30" i="6" s="1"/>
  <c r="C31" i="6"/>
  <c r="C21" i="6"/>
  <c r="E4" i="7"/>
  <c r="F4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5" i="7"/>
  <c r="F5" i="7" s="1"/>
  <c r="D18" i="3"/>
  <c r="D19" i="3" s="1"/>
  <c r="K38" i="5"/>
  <c r="J51" i="5"/>
  <c r="K50" i="5"/>
  <c r="K47" i="5"/>
  <c r="K48" i="5"/>
  <c r="K49" i="5"/>
  <c r="K17" i="5"/>
  <c r="J16" i="5"/>
  <c r="I14" i="5"/>
  <c r="I15" i="5"/>
  <c r="I5" i="5"/>
  <c r="J11" i="5"/>
  <c r="J10" i="5"/>
  <c r="J9" i="5"/>
  <c r="J7" i="5"/>
  <c r="J2" i="5"/>
  <c r="J4" i="5"/>
  <c r="J6" i="5"/>
  <c r="I3" i="5"/>
  <c r="I33" i="5"/>
  <c r="I34" i="5"/>
  <c r="J45" i="5"/>
  <c r="J28" i="5"/>
  <c r="J8" i="5"/>
  <c r="I53" i="5"/>
  <c r="I54" i="5"/>
  <c r="E4" i="3"/>
  <c r="E6" i="3" s="1"/>
  <c r="E8" i="3" s="1"/>
  <c r="E9" i="3" s="1"/>
  <c r="E10" i="3" s="1"/>
  <c r="K16" i="2"/>
  <c r="E16" i="2"/>
  <c r="F16" i="2"/>
  <c r="G16" i="2"/>
  <c r="H16" i="2"/>
  <c r="I16" i="2"/>
  <c r="J16" i="2"/>
  <c r="D16" i="2"/>
  <c r="C16" i="2"/>
  <c r="B16" i="2"/>
  <c r="B12" i="2"/>
  <c r="C11" i="2"/>
  <c r="C8" i="2"/>
  <c r="D8" i="2"/>
  <c r="E5" i="2"/>
  <c r="D4" i="2"/>
  <c r="B3" i="2"/>
  <c r="C2" i="2"/>
  <c r="B22" i="1"/>
  <c r="F13" i="1"/>
  <c r="D13" i="1"/>
  <c r="B13" i="1" s="1"/>
  <c r="B21" i="1"/>
  <c r="F12" i="1"/>
  <c r="D12" i="1"/>
  <c r="B12" i="1" s="1"/>
  <c r="F11" i="1"/>
  <c r="D11" i="1"/>
  <c r="B18" i="1"/>
  <c r="B17" i="1"/>
  <c r="G9" i="1"/>
  <c r="E9" i="1"/>
  <c r="F67" i="7" l="1"/>
  <c r="F70" i="7"/>
  <c r="F69" i="7"/>
  <c r="I115" i="7"/>
  <c r="G67" i="7"/>
  <c r="H67" i="7" s="1"/>
  <c r="G68" i="7"/>
  <c r="H68" i="7" s="1"/>
  <c r="G69" i="7"/>
  <c r="H69" i="7" s="1"/>
  <c r="G70" i="7"/>
  <c r="H70" i="7" s="1"/>
  <c r="G48" i="7"/>
  <c r="F49" i="7"/>
  <c r="G49" i="7" s="1"/>
  <c r="H49" i="7" s="1"/>
  <c r="F51" i="7"/>
  <c r="G51" i="7" s="1"/>
  <c r="H51" i="7" s="1"/>
  <c r="F50" i="7"/>
  <c r="G50" i="7" s="1"/>
  <c r="H50" i="7" s="1"/>
  <c r="F85" i="7"/>
  <c r="G85" i="7" s="1"/>
  <c r="H85" i="7" s="1"/>
  <c r="F88" i="7"/>
  <c r="G88" i="7" s="1"/>
  <c r="H88" i="7" s="1"/>
  <c r="F87" i="7"/>
  <c r="G87" i="7" s="1"/>
  <c r="H87" i="7" s="1"/>
  <c r="F86" i="7"/>
  <c r="G86" i="7" s="1"/>
  <c r="H86" i="7" s="1"/>
  <c r="G84" i="7"/>
  <c r="H84" i="7" s="1"/>
  <c r="F60" i="7"/>
  <c r="G60" i="7" s="1"/>
  <c r="H60" i="7" s="1"/>
  <c r="F61" i="7"/>
  <c r="G61" i="7" s="1"/>
  <c r="H61" i="7" s="1"/>
  <c r="F59" i="7"/>
  <c r="G59" i="7" s="1"/>
  <c r="H59" i="7" s="1"/>
  <c r="F62" i="7"/>
  <c r="G62" i="7" s="1"/>
  <c r="H62" i="7" s="1"/>
  <c r="C11" i="8"/>
  <c r="F11" i="8" s="1"/>
  <c r="G11" i="8" s="1"/>
  <c r="F76" i="7"/>
  <c r="F75" i="7"/>
  <c r="F78" i="7"/>
  <c r="G78" i="7" s="1"/>
  <c r="F77" i="7"/>
  <c r="G20" i="7"/>
  <c r="C26" i="7" s="1"/>
  <c r="D26" i="7" s="1"/>
  <c r="G19" i="7"/>
  <c r="D29" i="6"/>
  <c r="E29" i="6" s="1"/>
  <c r="F29" i="6" s="1"/>
  <c r="B30" i="6"/>
  <c r="B28" i="6"/>
  <c r="B22" i="6"/>
  <c r="B27" i="6"/>
  <c r="B26" i="6"/>
  <c r="G12" i="7"/>
  <c r="H12" i="7" s="1"/>
  <c r="G10" i="7"/>
  <c r="H10" i="7" s="1"/>
  <c r="G4" i="7"/>
  <c r="H4" i="7" s="1"/>
  <c r="G9" i="7"/>
  <c r="H9" i="7" s="1"/>
  <c r="G8" i="7"/>
  <c r="H8" i="7" s="1"/>
  <c r="G7" i="7"/>
  <c r="H7" i="7" s="1"/>
  <c r="G6" i="7"/>
  <c r="H6" i="7" s="1"/>
  <c r="G5" i="7"/>
  <c r="H5" i="7" s="1"/>
  <c r="G11" i="7"/>
  <c r="H11" i="7" s="1"/>
  <c r="G3" i="7"/>
  <c r="H3" i="7" s="1"/>
  <c r="F14" i="7"/>
  <c r="B11" i="1"/>
  <c r="B9" i="1"/>
  <c r="E5" i="1"/>
  <c r="D4" i="1"/>
  <c r="C2" i="1"/>
  <c r="B3" i="1"/>
  <c r="H78" i="7" l="1"/>
  <c r="G75" i="7"/>
  <c r="H75" i="7" s="1"/>
  <c r="G76" i="7"/>
  <c r="H76" i="7" s="1"/>
  <c r="G77" i="7"/>
  <c r="H77" i="7" s="1"/>
  <c r="I20" i="7"/>
  <c r="G26" i="7" s="1"/>
  <c r="H26" i="7" s="1"/>
  <c r="I19" i="7"/>
  <c r="C25" i="7"/>
  <c r="D25" i="7" s="1"/>
  <c r="H14" i="7"/>
  <c r="J26" i="7" l="1"/>
  <c r="K26" i="7" s="1"/>
  <c r="J25" i="7"/>
  <c r="K25" i="7" s="1"/>
  <c r="G25" i="7"/>
  <c r="H25" i="7" s="1"/>
  <c r="H4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3B9AB-227F-FD40-A03A-63A4BE957F33}" name="threashold" type="6" refreshedVersion="7" background="1" saveData="1">
    <textPr codePage="65001" sourceFile="/Users/sun_xo/learn/py/finance/threashold.txt" space="1" consecutive="1">
      <textFields count="7">
        <textField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<sst xmlns="http://schemas.openxmlformats.org/spreadsheetml/2006/main" count="791" uniqueCount="532">
  <si>
    <t>Fv = Pv (1 + i) ^ n</t>
  </si>
  <si>
    <t>复利公式</t>
  </si>
  <si>
    <t>Present Value</t>
  </si>
  <si>
    <t>Future Value</t>
  </si>
  <si>
    <t>interest</t>
  </si>
  <si>
    <t>Pv = Fv / (1 + i) ^ n</t>
  </si>
  <si>
    <t>i = (Fv / Pv) ^ (1 / n) - 1</t>
  </si>
  <si>
    <t>n_times</t>
  </si>
  <si>
    <t>n = log (Fv / Pv, 1 + i)</t>
  </si>
  <si>
    <t>房贷等额本息</t>
  </si>
  <si>
    <t>房产理想价格</t>
  </si>
  <si>
    <t>Mr = LpMi(1 + Mi) ^ Rm / ((1 + Mi) ^ Rm – 1)</t>
  </si>
  <si>
    <t>月还款额(Mr)</t>
  </si>
  <si>
    <t>贷款本金(Lp)</t>
  </si>
  <si>
    <t>年利率(Yi)</t>
  </si>
  <si>
    <t>月利率(Mi)</t>
  </si>
  <si>
    <t>还款年数(Ry)</t>
  </si>
  <si>
    <t>还款月数(Rm)</t>
  </si>
  <si>
    <t>Yr = 12Mi(1 + Mi) ^ Rm / ((1 + Mi) ^ Rm – 1)</t>
  </si>
  <si>
    <t>年还款率(Yr)</t>
  </si>
  <si>
    <t>房产价格(Hp)</t>
  </si>
  <si>
    <t>月租金(Mr)</t>
  </si>
  <si>
    <t>首付率(Dp)</t>
  </si>
  <si>
    <t>税率(Tr)</t>
  </si>
  <si>
    <t>年收益率(Yy)</t>
  </si>
  <si>
    <t>Hp = 10.8Mr / (Yy(Dp + Tr) + Yr(1 – Dp))</t>
  </si>
  <si>
    <t>月支出(Mo)</t>
  </si>
  <si>
    <t>Hp = 12(Mr – Mo)  / (Yy(Dp + Tr) + Yr(1 – Dp))</t>
  </si>
  <si>
    <t>定投公式</t>
  </si>
  <si>
    <t>investment / m</t>
  </si>
  <si>
    <t xml:space="preserve">interest / y </t>
  </si>
  <si>
    <t>future value</t>
  </si>
  <si>
    <t>Fv=12a(1 + i)((1 + i) ^ n - 1) / i</t>
  </si>
  <si>
    <t>investment</t>
  </si>
  <si>
    <t>转股价</t>
  </si>
  <si>
    <t>转股数</t>
  </si>
  <si>
    <t>转股溢价率</t>
  </si>
  <si>
    <t>转换价值</t>
  </si>
  <si>
    <t>市价</t>
  </si>
  <si>
    <t>可转债面值</t>
  </si>
  <si>
    <t>认购期权</t>
  </si>
  <si>
    <t>期权买方权益</t>
  </si>
  <si>
    <t>期权卖方权益</t>
  </si>
  <si>
    <t>认沽期权</t>
  </si>
  <si>
    <t>买入开仓</t>
  </si>
  <si>
    <t>卖出开仓</t>
  </si>
  <si>
    <t>买入认购 (看大涨)</t>
  </si>
  <si>
    <t>买入认沽 (看大跌)</t>
  </si>
  <si>
    <t>卖出认购 (看不涨)</t>
  </si>
  <si>
    <t>卖出认沽 (看不跌)</t>
  </si>
  <si>
    <t>max (市价 - 行权价, 0) - 权利金</t>
  </si>
  <si>
    <t>max (行权价 - 市价, 0) - 权利金</t>
  </si>
  <si>
    <t>min(市价 - 行权价, 0) + 权利金</t>
  </si>
  <si>
    <t>min(行权价 - 市价, 0) + 权利金</t>
  </si>
  <si>
    <t>设</t>
  </si>
  <si>
    <t>行权价</t>
  </si>
  <si>
    <t>a</t>
  </si>
  <si>
    <t>权利金</t>
  </si>
  <si>
    <t>b</t>
  </si>
  <si>
    <t>x</t>
  </si>
  <si>
    <t>盈亏</t>
  </si>
  <si>
    <t>y</t>
  </si>
  <si>
    <t>x &lt;= a</t>
  </si>
  <si>
    <t>y = -b</t>
  </si>
  <si>
    <t>y = b</t>
  </si>
  <si>
    <t>y = x -a - b</t>
  </si>
  <si>
    <t>y = a + b - x</t>
  </si>
  <si>
    <t>x &gt; a</t>
  </si>
  <si>
    <t>y = a - b - x</t>
  </si>
  <si>
    <t>y = x - a + b</t>
  </si>
  <si>
    <t>备兑开仓</t>
  </si>
  <si>
    <t>设成本价=a，行权价=b，权利金=c</t>
  </si>
  <si>
    <t>盈亏y与市价x的关系为：</t>
  </si>
  <si>
    <t>x&lt;=b， y=x-a+c</t>
  </si>
  <si>
    <t>x&gt;b，   y=b-a+c</t>
  </si>
  <si>
    <t>其中，x=a-c 时为盈亏平衡点(y=0)</t>
  </si>
  <si>
    <t>静态回报率=c/(a-c)*100%</t>
  </si>
  <si>
    <t>行权回报率=(b-a+c)/(a-c)*100%</t>
  </si>
  <si>
    <t>卖出认购</t>
  </si>
  <si>
    <t>买入认购</t>
  </si>
  <si>
    <t>卖出认沽</t>
  </si>
  <si>
    <t>x &lt;= b</t>
  </si>
  <si>
    <t>y = -c</t>
  </si>
  <si>
    <t>x&gt; b</t>
  </si>
  <si>
    <t>y = x - b - c</t>
  </si>
  <si>
    <t>认购权利金=c，认沽权利金=d</t>
  </si>
  <si>
    <t>设成本价=a，行权价=b</t>
  </si>
  <si>
    <t>盈亏=y，市价=x</t>
  </si>
  <si>
    <t>原成本</t>
  </si>
  <si>
    <t>(x - b) / a</t>
  </si>
  <si>
    <t>现成本</t>
  </si>
  <si>
    <t>(x - b - c + d) / (c - d)</t>
  </si>
  <si>
    <t>合成股票多头</t>
  </si>
  <si>
    <t>买入跨式策略</t>
  </si>
  <si>
    <t>买入认沽</t>
  </si>
  <si>
    <t>y.= -c</t>
  </si>
  <si>
    <t>x &gt; b</t>
  </si>
  <si>
    <t>y' = x - b + d</t>
  </si>
  <si>
    <t>Y = x - b - c + d</t>
  </si>
  <si>
    <t>y' = d</t>
  </si>
  <si>
    <t>y' = b -  x - d</t>
  </si>
  <si>
    <t>y' = -d</t>
  </si>
  <si>
    <t>两式相加</t>
  </si>
  <si>
    <t>x = b时，最大亏损 = c + d</t>
  </si>
  <si>
    <t>平衡点</t>
  </si>
  <si>
    <t>x 和 b 相差越大，盈利越大</t>
  </si>
  <si>
    <t>|x - b| = c + d</t>
  </si>
  <si>
    <t>卖出跨式策略</t>
  </si>
  <si>
    <t>y = c</t>
  </si>
  <si>
    <t>y = b - x + c</t>
  </si>
  <si>
    <t>Y = |x - b| - c - d</t>
  </si>
  <si>
    <t>Y = c + d - |x - b|</t>
  </si>
  <si>
    <t>看后市小幅盘整</t>
  </si>
  <si>
    <t>看后市大幅波动</t>
  </si>
  <si>
    <t>x 和 b 相差越大，亏损越大</t>
  </si>
  <si>
    <t>x = b时，最大盈利 = c + d</t>
  </si>
  <si>
    <t>盈亏情况</t>
  </si>
  <si>
    <t>行权价=b， 认购权利金=c</t>
  </si>
  <si>
    <t>y‘ = c’</t>
  </si>
  <si>
    <t>Y = c' - c</t>
  </si>
  <si>
    <t>y‘ = c‘</t>
  </si>
  <si>
    <t>Y = x - b + c' - c</t>
  </si>
  <si>
    <t>x &gt; b'</t>
  </si>
  <si>
    <t>y' = b' - x + c'</t>
  </si>
  <si>
    <t>Y = b' - b + c' - c</t>
  </si>
  <si>
    <t>盈亏=Y，市价=x</t>
  </si>
  <si>
    <t>最大亏损</t>
  </si>
  <si>
    <t>最大盈利</t>
  </si>
  <si>
    <t>行权价=b‘ (&gt; b)， 认购权利金=c' (&lt; c)</t>
  </si>
  <si>
    <t>开仓成本</t>
  </si>
  <si>
    <t>c - c'</t>
  </si>
  <si>
    <t>提前平仓</t>
  </si>
  <si>
    <t>买入低行权价认购</t>
  </si>
  <si>
    <t>买低卖高</t>
  </si>
  <si>
    <t>卖低买高</t>
  </si>
  <si>
    <t>卖出高行权价认购</t>
  </si>
  <si>
    <t>买入高行权价认沽</t>
  </si>
  <si>
    <t>卖出低行权价认沽</t>
  </si>
  <si>
    <t>行权价=b， 认沽权利金=c</t>
  </si>
  <si>
    <t>行权价=b‘ (&gt; b)， 认沽权利金=c' (&gt; c)</t>
  </si>
  <si>
    <t>y = x - b + c</t>
  </si>
  <si>
    <t xml:space="preserve">x &lt; b </t>
  </si>
  <si>
    <t>y' = b' - x - c'</t>
  </si>
  <si>
    <t>y' = -c</t>
  </si>
  <si>
    <t xml:space="preserve">Y = b' - b + c - c' </t>
  </si>
  <si>
    <t xml:space="preserve">Y = b' - x + c - c' </t>
  </si>
  <si>
    <t>b ≤ x &lt; b'</t>
  </si>
  <si>
    <t>x ≥ b'</t>
  </si>
  <si>
    <t xml:space="preserve">x ≤ b </t>
  </si>
  <si>
    <t>b &lt; x ≤ b'</t>
  </si>
  <si>
    <t>x ≤ b</t>
  </si>
  <si>
    <t>Y = c - c'</t>
  </si>
  <si>
    <t>c' - c</t>
  </si>
  <si>
    <t>未来行情适度看涨</t>
  </si>
  <si>
    <t>未来行情适度看跌</t>
  </si>
  <si>
    <t>降低持股成本</t>
  </si>
  <si>
    <t>期权模拟股票</t>
  </si>
  <si>
    <t>看不涨或小涨，降成本</t>
  </si>
  <si>
    <t>持有正股</t>
  </si>
  <si>
    <t>熊市认沽价差策略</t>
  </si>
  <si>
    <t>牛市认购价差策略</t>
  </si>
  <si>
    <t>n</t>
  </si>
  <si>
    <t>bf = 100</t>
  </si>
  <si>
    <t>Pv = Fv / (1+i*n)</t>
  </si>
  <si>
    <t>Fv = Pv(1+i*n)</t>
  </si>
  <si>
    <t>基金高估后等比例赎回</t>
  </si>
  <si>
    <t>r = 1/(n-i+1)</t>
  </si>
  <si>
    <t>银行加息3-&gt;8后
企业债利息4-&gt;9
市值下跌100-&gt;91.53</t>
  </si>
  <si>
    <t>可转债市价</t>
  </si>
  <si>
    <t>转股溢价</t>
  </si>
  <si>
    <t>常量100</t>
  </si>
  <si>
    <t>可转债的实际价值，= 转股数 * 正股价，
或 = 正股价 / 转股价 * 100</t>
  </si>
  <si>
    <t>搜特 (128100)</t>
  </si>
  <si>
    <t>双低</t>
  </si>
  <si>
    <t xml:space="preserve"> </t>
  </si>
  <si>
    <t xml:space="preserve"> = 100 / 转股价</t>
  </si>
  <si>
    <t>发行方定价并可下调</t>
  </si>
  <si>
    <t>盈利收益率</t>
  </si>
  <si>
    <t>指数代码</t>
  </si>
  <si>
    <t>参考指标</t>
  </si>
  <si>
    <t>低估阈值</t>
  </si>
  <si>
    <t>高估阈值</t>
  </si>
  <si>
    <t>历史最高值</t>
  </si>
  <si>
    <t>历史最低值</t>
  </si>
  <si>
    <t>上证红利</t>
  </si>
  <si>
    <t>000015</t>
  </si>
  <si>
    <t>50AH优选</t>
  </si>
  <si>
    <t>950090</t>
  </si>
  <si>
    <t>基本面50</t>
  </si>
  <si>
    <t>000925</t>
  </si>
  <si>
    <t>央视50</t>
  </si>
  <si>
    <t>399550</t>
  </si>
  <si>
    <t>中证红利</t>
  </si>
  <si>
    <t>000922</t>
  </si>
  <si>
    <t>300价值</t>
  </si>
  <si>
    <t>000919</t>
  </si>
  <si>
    <t>上证50</t>
  </si>
  <si>
    <t>000016</t>
  </si>
  <si>
    <t>上证180</t>
  </si>
  <si>
    <t>000010</t>
  </si>
  <si>
    <t>H股指数</t>
  </si>
  <si>
    <t>HSCEI</t>
  </si>
  <si>
    <t>恒生指数</t>
  </si>
  <si>
    <t>HSI</t>
  </si>
  <si>
    <t>市净率</t>
  </si>
  <si>
    <t>银行行业</t>
  </si>
  <si>
    <t>399986</t>
  </si>
  <si>
    <t>地产行业</t>
  </si>
  <si>
    <t>399393</t>
  </si>
  <si>
    <t>证券行业</t>
  </si>
  <si>
    <t>399975</t>
  </si>
  <si>
    <t>军工行业</t>
  </si>
  <si>
    <t>399967</t>
  </si>
  <si>
    <t>环保</t>
  </si>
  <si>
    <t>000827</t>
  </si>
  <si>
    <t>中证基建</t>
  </si>
  <si>
    <t>399995</t>
  </si>
  <si>
    <t>建筑材料</t>
  </si>
  <si>
    <t>931009</t>
  </si>
  <si>
    <t>华宝油气</t>
  </si>
  <si>
    <t>净值</t>
  </si>
  <si>
    <t>市盈率</t>
  </si>
  <si>
    <t>中证全指</t>
  </si>
  <si>
    <t>000985</t>
  </si>
  <si>
    <t>红利机会</t>
  </si>
  <si>
    <t>CSPSADRP</t>
  </si>
  <si>
    <t>500低波动</t>
  </si>
  <si>
    <t>930782</t>
  </si>
  <si>
    <t>500增强</t>
  </si>
  <si>
    <t>000905</t>
  </si>
  <si>
    <t>沪深300</t>
  </si>
  <si>
    <t>000300</t>
  </si>
  <si>
    <t>中证养老</t>
  </si>
  <si>
    <t>399812</t>
  </si>
  <si>
    <t>创业板</t>
  </si>
  <si>
    <t>399006</t>
  </si>
  <si>
    <t>深证100</t>
  </si>
  <si>
    <t>399330</t>
  </si>
  <si>
    <t>医药100</t>
  </si>
  <si>
    <t>000978</t>
  </si>
  <si>
    <t>中证医疗</t>
  </si>
  <si>
    <t>399989</t>
  </si>
  <si>
    <t>中证生物科技</t>
  </si>
  <si>
    <t>930743</t>
  </si>
  <si>
    <t>中证消费</t>
  </si>
  <si>
    <t>000932</t>
  </si>
  <si>
    <t>中证白酒</t>
  </si>
  <si>
    <t>399997</t>
  </si>
  <si>
    <t>食品饮料</t>
  </si>
  <si>
    <t>930653</t>
  </si>
  <si>
    <t>可选消费</t>
  </si>
  <si>
    <t>000989</t>
  </si>
  <si>
    <t>686000</t>
  </si>
  <si>
    <t>消费红利</t>
  </si>
  <si>
    <t>H30094</t>
  </si>
  <si>
    <t>消费龙头</t>
  </si>
  <si>
    <t>931068</t>
  </si>
  <si>
    <t>沪港深消费50</t>
  </si>
  <si>
    <t>931357</t>
  </si>
  <si>
    <t>深证成指</t>
  </si>
  <si>
    <t>399001</t>
  </si>
  <si>
    <t>基本面60</t>
  </si>
  <si>
    <t>399701</t>
  </si>
  <si>
    <t>基本面120</t>
  </si>
  <si>
    <t>399702</t>
  </si>
  <si>
    <t>深证红利</t>
  </si>
  <si>
    <t>399324</t>
  </si>
  <si>
    <t>纳斯达克100</t>
  </si>
  <si>
    <t>NDX</t>
  </si>
  <si>
    <t>标普500</t>
  </si>
  <si>
    <t>SPX</t>
  </si>
  <si>
    <t>标普科技</t>
  </si>
  <si>
    <t>S5INFT</t>
  </si>
  <si>
    <t>美股消费</t>
  </si>
  <si>
    <t>IXY</t>
  </si>
  <si>
    <t>全球医疗</t>
  </si>
  <si>
    <t>SPG120035</t>
  </si>
  <si>
    <t>香港中小</t>
  </si>
  <si>
    <t>SPHCMSHP</t>
  </si>
  <si>
    <t>中概互联</t>
  </si>
  <si>
    <t>H30533</t>
  </si>
  <si>
    <t>市销率</t>
  </si>
  <si>
    <t>A股龙头</t>
  </si>
  <si>
    <t>HSCAIT</t>
  </si>
  <si>
    <t>竞争力指数</t>
  </si>
  <si>
    <t>931142</t>
  </si>
  <si>
    <t>MSCIA股质量</t>
  </si>
  <si>
    <t>707717</t>
  </si>
  <si>
    <t>科创50</t>
  </si>
  <si>
    <t>000688</t>
  </si>
  <si>
    <t>家用电器</t>
  </si>
  <si>
    <t>930697</t>
  </si>
  <si>
    <t>高估阈值(&lt;)</t>
  </si>
  <si>
    <t>低估阈值(&gt;)</t>
  </si>
  <si>
    <t>距最低</t>
  </si>
  <si>
    <t>距低估</t>
  </si>
  <si>
    <t>face value (fv)</t>
  </si>
  <si>
    <t>conversion value (cv)</t>
  </si>
  <si>
    <t>share price (sp)</t>
  </si>
  <si>
    <t>conversion share price (csp)</t>
  </si>
  <si>
    <t>cv = sp * n
cv = (sp/csp) *100</t>
  </si>
  <si>
    <t>n = 100/csp</t>
  </si>
  <si>
    <t>bond price (bp)</t>
  </si>
  <si>
    <t>premium</t>
  </si>
  <si>
    <t>p = bp - cv</t>
  </si>
  <si>
    <t>premium rate (pr)</t>
  </si>
  <si>
    <t>pr = bp / cv
pr = (bp - cv) / cv</t>
  </si>
  <si>
    <t>正股市价</t>
  </si>
  <si>
    <t>dl = bp + pr*100</t>
  </si>
  <si>
    <t>double low index (dl)</t>
  </si>
  <si>
    <t xml:space="preserve"> = 可转债市价 - 转换价值</t>
  </si>
  <si>
    <t xml:space="preserve"> = 可转债市价+ 转股溢价率 * 100
双因子，越低越好</t>
  </si>
  <si>
    <t>由市场定价</t>
  </si>
  <si>
    <t>由市场定价，理论上等于转换价值，有正负溢价
 &gt; 130可能触发强赎
债性因子，越低风险越小</t>
  </si>
  <si>
    <t>平均存续期 (年)</t>
  </si>
  <si>
    <t>历史数据</t>
  </si>
  <si>
    <t>平均收盘价 (元)</t>
  </si>
  <si>
    <t>平均赎回价 (元)</t>
  </si>
  <si>
    <t>转股率</t>
  </si>
  <si>
    <t>假设成本价(元)</t>
  </si>
  <si>
    <t>盈利期望 (元)</t>
  </si>
  <si>
    <t>average duration (ad)</t>
  </si>
  <si>
    <t>conversion rate (cr)</t>
  </si>
  <si>
    <t>assumed cost price (c)</t>
  </si>
  <si>
    <t>average closing price (ac)</t>
  </si>
  <si>
    <t>average redemption price (ar)</t>
  </si>
  <si>
    <t>期望年化利率</t>
  </si>
  <si>
    <t>expected interest</t>
  </si>
  <si>
    <t>expected annualized rate</t>
  </si>
  <si>
    <t>ep = ac*cr + ar*(1-cr) - c</t>
  </si>
  <si>
    <t>er = ep / c / ad</t>
  </si>
  <si>
    <t>估值指标</t>
  </si>
  <si>
    <t>P</t>
  </si>
  <si>
    <t>E</t>
  </si>
  <si>
    <t>动态市盈率</t>
  </si>
  <si>
    <t>E=最近1个年报的净利润</t>
  </si>
  <si>
    <t>E=最近4个季报的净利润</t>
  </si>
  <si>
    <t>E=预估下1年度的净利润</t>
  </si>
  <si>
    <t>适合流通性好、盈利稳定的品种</t>
  </si>
  <si>
    <t>EP = E/P</t>
  </si>
  <si>
    <t>PE = P/E</t>
  </si>
  <si>
    <t>约等于市盈率的倒数</t>
  </si>
  <si>
    <t>市值</t>
  </si>
  <si>
    <t>盈利</t>
  </si>
  <si>
    <t>净资产</t>
  </si>
  <si>
    <t>B</t>
  </si>
  <si>
    <t>PB = P/B</t>
  </si>
  <si>
    <t>净资产收益率</t>
  </si>
  <si>
    <t>ROE= E/B</t>
  </si>
  <si>
    <t>适合资产价值稳定的品种</t>
  </si>
  <si>
    <t>衡量资产运作效率</t>
  </si>
  <si>
    <t>静态市盈率 LYR</t>
  </si>
  <si>
    <t>滚动市盈率 TTM</t>
  </si>
  <si>
    <t>股票价格</t>
  </si>
  <si>
    <t>网格序号</t>
  </si>
  <si>
    <t>每格涨跌幅</t>
  </si>
  <si>
    <t>网格资金</t>
  </si>
  <si>
    <t>该价格买入股数</t>
  </si>
  <si>
    <t>买入资金</t>
  </si>
  <si>
    <t>该价格卖出股数</t>
  </si>
  <si>
    <t>总资金</t>
  </si>
  <si>
    <t>合计</t>
  </si>
  <si>
    <t>4星</t>
  </si>
  <si>
    <t>5星</t>
  </si>
  <si>
    <t>3星</t>
  </si>
  <si>
    <t>2星</t>
  </si>
  <si>
    <t>1星</t>
  </si>
  <si>
    <t>设2011年1月中证全指5星级阈值为1657.7</t>
  </si>
  <si>
    <t>阈值t = 1657.7 * 1.1^(y-2011) * (1+(m-1)/120) / 0.8^(5-s)</t>
  </si>
  <si>
    <t>例如 2021年12月，中证全指4星级阈值为</t>
  </si>
  <si>
    <t>同时设中证全指年增长10%，指数每下跌20%，星级加1</t>
  </si>
  <si>
    <t>求该日期之后的猴(y)年马(m)月某(s)星级阈值t</t>
  </si>
  <si>
    <t>可转债</t>
  </si>
  <si>
    <t>价格元)</t>
  </si>
  <si>
    <t>网格资金(元)</t>
  </si>
  <si>
    <t>累计持仓(元)</t>
  </si>
  <si>
    <t>条件单</t>
  </si>
  <si>
    <t>涨跌类型</t>
  </si>
  <si>
    <t>差价</t>
  </si>
  <si>
    <t>上涨卖出(元)</t>
  </si>
  <si>
    <t>下跌买入(元)</t>
  </si>
  <si>
    <t>网内最大亏损(元)</t>
  </si>
  <si>
    <t>网内最大亏损(%)</t>
  </si>
  <si>
    <t>回落卖出(元)</t>
  </si>
  <si>
    <t>反弹买入(元)</t>
  </si>
  <si>
    <t>卖出价</t>
  </si>
  <si>
    <t>即时买5价</t>
  </si>
  <si>
    <t>买入价</t>
  </si>
  <si>
    <t>即时卖5价</t>
  </si>
  <si>
    <t>最低价(元)</t>
  </si>
  <si>
    <t>最高价(元)</t>
  </si>
  <si>
    <t>集思录</t>
  </si>
  <si>
    <t>标准</t>
  </si>
  <si>
    <t>转股期内</t>
  </si>
  <si>
    <t>剩余期限 &gt; 1年</t>
  </si>
  <si>
    <t>价格跨度 &gt; 50</t>
  </si>
  <si>
    <t>评级 ≥ AA-</t>
  </si>
  <si>
    <t>价格 ≤ 130</t>
  </si>
  <si>
    <t>溢价率 ≤ 30%</t>
  </si>
  <si>
    <t>波动率 &gt; 20%</t>
  </si>
  <si>
    <t>华宝智投</t>
  </si>
  <si>
    <t>剩余规模 &gt; 90%</t>
  </si>
  <si>
    <t>130-10*底仓份数</t>
  </si>
  <si>
    <t>筛选</t>
  </si>
  <si>
    <t>证券ETF</t>
  </si>
  <si>
    <t>价格上线</t>
  </si>
  <si>
    <t>价格下线</t>
  </si>
  <si>
    <t>网格大小</t>
  </si>
  <si>
    <t>中证100</t>
  </si>
  <si>
    <t>深红利</t>
  </si>
  <si>
    <t>代码</t>
  </si>
  <si>
    <t>名称</t>
  </si>
  <si>
    <t>回落卖出</t>
  </si>
  <si>
    <t>累计回落</t>
  </si>
  <si>
    <t>委托股数</t>
  </si>
  <si>
    <t>卖出条件</t>
  </si>
  <si>
    <t>保底价触发</t>
  </si>
  <si>
    <t>保留利润</t>
  </si>
  <si>
    <t>触发基准价(元)</t>
  </si>
  <si>
    <t>委托金额(元)</t>
  </si>
  <si>
    <t>ETF网格</t>
  </si>
  <si>
    <t>SH512880</t>
  </si>
  <si>
    <t>P(211231)</t>
  </si>
  <si>
    <t>PB上沿</t>
  </si>
  <si>
    <t>PB下沿</t>
  </si>
  <si>
    <t>当前PB</t>
  </si>
  <si>
    <t>BookValue</t>
  </si>
  <si>
    <t>P上沿</t>
  </si>
  <si>
    <t>P下沿</t>
  </si>
  <si>
    <t>委托股数(股)</t>
  </si>
  <si>
    <t>SH510310</t>
  </si>
  <si>
    <t>legulegu.com/stockdata/sw-industry?industryCode=801193.SI</t>
  </si>
  <si>
    <t>指数</t>
  </si>
  <si>
    <t>legulegu.com/stockdata/hs300-pb</t>
  </si>
  <si>
    <t>即时卖1价</t>
  </si>
  <si>
    <t>即时买1价</t>
  </si>
  <si>
    <t>万顺转债</t>
  </si>
  <si>
    <t>year</t>
  </si>
  <si>
    <t>month</t>
  </si>
  <si>
    <t>star</t>
  </si>
  <si>
    <t>threshold</t>
  </si>
  <si>
    <t>sh00985</t>
  </si>
  <si>
    <t>base</t>
  </si>
  <si>
    <t>累计股数</t>
  </si>
  <si>
    <t>成本(元)</t>
  </si>
  <si>
    <t>底部加仓</t>
  </si>
  <si>
    <t>设条件单</t>
  </si>
  <si>
    <t>执行后</t>
  </si>
  <si>
    <t>改委托股数</t>
  </si>
  <si>
    <t>10 -&gt; 30</t>
  </si>
  <si>
    <t>(30-10)*4</t>
  </si>
  <si>
    <t>&lt; 160 买80</t>
  </si>
  <si>
    <t>p(B)=p(B|A)p(A)+p(B|Ᾱ)p(Ᾱ)</t>
  </si>
  <si>
    <t>其中Ᾱ和A互斥，p(Ᾱ)=1-p(A)</t>
  </si>
  <si>
    <t>p(B|A)*p(A)代表A,B同时发生</t>
  </si>
  <si>
    <t>全概率公式</t>
  </si>
  <si>
    <t>事件A发生的先验概率
p(A)</t>
  </si>
  <si>
    <t>事件A不发生
的先验概率 
p(Ᾱ) = 1 - p(A)</t>
  </si>
  <si>
    <t>事件A发生时事件B发生的概率
p (B|A)</t>
  </si>
  <si>
    <t>事件A未发生时事件B发生的概率
p(B|Ᾱ)</t>
  </si>
  <si>
    <t xml:space="preserve">事件B发生的概率
p(B) = 
p(B|A)p(A)+p(B|Ᾱ)p(Ᾱ) </t>
  </si>
  <si>
    <t>事件A发生的后验概率
p(A|B) =
p(B|A)p(A)/p(B)</t>
  </si>
  <si>
    <t>雍和宫灵验
的先验概率</t>
  </si>
  <si>
    <t>雍和宫不灵
的先验概率</t>
  </si>
  <si>
    <t>雍和宫灵验时
某甲的升职概率</t>
  </si>
  <si>
    <t>雍和宫不灵时
某甲的升职概率</t>
  </si>
  <si>
    <t>某甲的升职概率</t>
  </si>
  <si>
    <t>雍和宫灵验的后验概率</t>
  </si>
  <si>
    <t>0.15 -&gt; 0.22</t>
  </si>
  <si>
    <t>某甲祈福后升职成功后雍和宫灵验的概率</t>
  </si>
  <si>
    <t>某乙祈福后升职失败后雍和宫灵验的概率</t>
  </si>
  <si>
    <t>雍和宫灵验时
某乙不升职概率</t>
  </si>
  <si>
    <t>雍和宫不灵时
某乙不升职概率</t>
  </si>
  <si>
    <t>0.22 -&gt; 0.10</t>
  </si>
  <si>
    <t>携带HIV的先验概率</t>
  </si>
  <si>
    <t>检测HIV为阳性的概率</t>
  </si>
  <si>
    <t>不携带HIV的先验概率</t>
  </si>
  <si>
    <t>检测为阳性后携带HIV的概率(后验概率)</t>
  </si>
  <si>
    <t>携带者检测HIV为阳性的概率</t>
  </si>
  <si>
    <t>非携带者检测为阳性的概率</t>
  </si>
  <si>
    <t>案例1: 雍和宫灵验吗 - 事件A: 雍和宫灵验 事件B: 祈福后升职成功或失败</t>
  </si>
  <si>
    <t>案例2: 某人检测HIV阳性 - 事件A: 携带HIV 事件B: 检测HIV阳性</t>
  </si>
  <si>
    <t>第1次检测HIV阳性</t>
  </si>
  <si>
    <t>第2次检测HIV阳性</t>
  </si>
  <si>
    <t>某乙的不升职概率</t>
  </si>
  <si>
    <t>案例3: 抓特务 - 事件A: 某人是间谍，事件B: 某人有嫌疑</t>
  </si>
  <si>
    <t>某人是特务的先验概率</t>
  </si>
  <si>
    <t>某人不是特务的先验概率</t>
  </si>
  <si>
    <t>某人是特务且被怀疑的概率(真阳性)</t>
  </si>
  <si>
    <t>某人不是特务却被怀疑的概率(假阳性)</t>
  </si>
  <si>
    <t>某人被怀疑的概率</t>
  </si>
  <si>
    <t>怀疑属实的概率(后验概率)</t>
  </si>
  <si>
    <t>第一次被怀疑</t>
  </si>
  <si>
    <t>华钰转债</t>
  </si>
  <si>
    <t xml:space="preserve"> = 转股溢价 / 转换价值
 = (可转债市价 - 转换价值) / 转换价值
股性因子，越低债价越接近股价，收益越高</t>
  </si>
  <si>
    <t>10 -&gt; 40</t>
  </si>
  <si>
    <t>&lt; 130 买120</t>
  </si>
  <si>
    <t>(40-10)*4</t>
  </si>
  <si>
    <t>华锋转债</t>
  </si>
  <si>
    <t xml:space="preserve"> 法兰转债</t>
  </si>
  <si>
    <t>台华转债</t>
  </si>
  <si>
    <t xml:space="preserve">SZ128040  </t>
  </si>
  <si>
    <t>华通转债</t>
  </si>
  <si>
    <t>SH113027</t>
  </si>
  <si>
    <t>SH113525</t>
  </si>
  <si>
    <t>SH113598</t>
  </si>
  <si>
    <t>SZ128082</t>
  </si>
  <si>
    <t>贵广转债</t>
  </si>
  <si>
    <t>精达转债</t>
  </si>
  <si>
    <t>法兰转债</t>
  </si>
  <si>
    <t>一品转债</t>
  </si>
  <si>
    <t>齐翔转2</t>
  </si>
  <si>
    <t>SZ128145</t>
  </si>
  <si>
    <t>SH110074</t>
  </si>
  <si>
    <t>SH110052</t>
  </si>
  <si>
    <t>SZ128128</t>
  </si>
  <si>
    <t>SZ123098</t>
  </si>
  <si>
    <t>日丰转债</t>
  </si>
  <si>
    <t>SZ123014</t>
  </si>
  <si>
    <t>凯发转债</t>
  </si>
  <si>
    <t>SZ123052</t>
  </si>
  <si>
    <t>飞鹿转债</t>
  </si>
  <si>
    <t>迪龙转债</t>
  </si>
  <si>
    <t>SZ128033</t>
  </si>
  <si>
    <t>嘉泽转债</t>
  </si>
  <si>
    <t>SH113039</t>
  </si>
  <si>
    <t>SZ128087</t>
  </si>
  <si>
    <t>孚日转债</t>
  </si>
  <si>
    <t>万讯转债</t>
  </si>
  <si>
    <t>SZ123112</t>
  </si>
  <si>
    <t>SZ128078</t>
  </si>
  <si>
    <t>太极转债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</si>
</sst>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"/>
    <numFmt numFmtId="167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2" fontId="0" fillId="0" borderId="0" xfId="0" applyNumberFormat="1"/>
    <xf numFmtId="2" fontId="0" fillId="2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0" fillId="0" borderId="0" xfId="0" applyNumberFormat="1"/>
    <xf numFmtId="9" fontId="0" fillId="0" borderId="0" xfId="1" applyFont="1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0" fontId="0" fillId="0" borderId="0" xfId="1" applyNumberFormat="1" applyFont="1" applyAlignment="1">
      <alignment vertical="center"/>
    </xf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4" fontId="0" fillId="0" borderId="0" xfId="0" applyNumberFormat="1"/>
    <xf numFmtId="0" fontId="4" fillId="0" borderId="0" xfId="2"/>
    <xf numFmtId="167" fontId="0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ashold" connectionId="1" xr16:uid="{0AA6780A-68B1-064D-9186-D9C820837B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621-2E4F-0F48-AB53-C7E606EEF51B}">
  <dimension ref="A1:K18"/>
  <sheetViews>
    <sheetView topLeftCell="A17" zoomScale="130" zoomScaleNormal="130" workbookViewId="0">
      <selection activeCell="B10" sqref="B10"/>
    </sheetView>
  </sheetViews>
  <sheetFormatPr baseColWidth="10" defaultRowHeight="16" x14ac:dyDescent="0.2"/>
  <cols>
    <col min="1" max="1" width="26.33203125" bestFit="1" customWidth="1"/>
    <col min="2" max="2" width="13.83203125" bestFit="1" customWidth="1"/>
    <col min="3" max="3" width="11.6640625" bestFit="1" customWidth="1"/>
    <col min="4" max="4" width="11" bestFit="1" customWidth="1"/>
    <col min="5" max="5" width="10.6640625" bestFit="1" customWidth="1"/>
    <col min="6" max="6" width="7.83203125" bestFit="1" customWidth="1"/>
    <col min="7" max="10" width="7.1640625" bestFit="1" customWidth="1"/>
    <col min="11" max="11" width="8.1640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11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11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11" x14ac:dyDescent="0.2">
      <c r="A4" t="s">
        <v>6</v>
      </c>
      <c r="B4" s="3">
        <v>1000</v>
      </c>
      <c r="C4" s="3">
        <v>2000</v>
      </c>
      <c r="D4" s="2">
        <f xml:space="preserve"> POWER((C4 / B4), 1 / E4) - 1</f>
        <v>7.1773462536293131E-2</v>
      </c>
      <c r="E4" s="3">
        <v>10</v>
      </c>
    </row>
    <row r="5" spans="1:11" x14ac:dyDescent="0.2">
      <c r="A5" t="s">
        <v>8</v>
      </c>
      <c r="B5" s="3">
        <v>1000</v>
      </c>
      <c r="C5" s="3">
        <v>1500</v>
      </c>
      <c r="D5" s="1">
        <v>6.7000000000000004E-2</v>
      </c>
      <c r="E5" s="4">
        <f xml:space="preserve"> LOG(C5 / B5, 1 + D5)</f>
        <v>6.2522595052213017</v>
      </c>
    </row>
    <row r="7" spans="1:11" x14ac:dyDescent="0.2">
      <c r="A7" t="s">
        <v>28</v>
      </c>
      <c r="B7" t="s">
        <v>29</v>
      </c>
      <c r="C7" t="s">
        <v>33</v>
      </c>
      <c r="D7" t="s">
        <v>31</v>
      </c>
      <c r="E7" t="s">
        <v>30</v>
      </c>
      <c r="F7" t="s">
        <v>7</v>
      </c>
    </row>
    <row r="8" spans="1:11" x14ac:dyDescent="0.2">
      <c r="A8" t="s">
        <v>32</v>
      </c>
      <c r="B8" s="9">
        <v>1000</v>
      </c>
      <c r="C8" s="8">
        <f>B8*12*F8</f>
        <v>216000</v>
      </c>
      <c r="D8" s="8">
        <f>12*B8*(1+E8)*(POWER(1+E8, F8)-1)/E8</f>
        <v>601909.08538097551</v>
      </c>
      <c r="E8" s="10">
        <v>0.1</v>
      </c>
      <c r="F8" s="9">
        <v>18</v>
      </c>
    </row>
    <row r="9" spans="1:11" x14ac:dyDescent="0.2">
      <c r="C9" s="3"/>
      <c r="D9" s="5"/>
      <c r="E9" s="1"/>
    </row>
    <row r="10" spans="1:11" ht="51" x14ac:dyDescent="0.2">
      <c r="A10" s="11" t="s">
        <v>167</v>
      </c>
    </row>
    <row r="11" spans="1:11" x14ac:dyDescent="0.2">
      <c r="A11" t="s">
        <v>164</v>
      </c>
      <c r="B11" s="3">
        <v>100</v>
      </c>
      <c r="C11" s="8">
        <f>B11*(1+D11*E11)</f>
        <v>108</v>
      </c>
      <c r="D11" s="1">
        <v>0.04</v>
      </c>
      <c r="E11">
        <v>2</v>
      </c>
    </row>
    <row r="12" spans="1:11" x14ac:dyDescent="0.2">
      <c r="A12" t="s">
        <v>163</v>
      </c>
      <c r="B12" s="8">
        <f>C12/(1+D12*E12)</f>
        <v>91.525423728813564</v>
      </c>
      <c r="C12" s="3">
        <v>108</v>
      </c>
      <c r="D12" s="1">
        <v>0.09</v>
      </c>
      <c r="E12">
        <v>2</v>
      </c>
    </row>
    <row r="13" spans="1:11" x14ac:dyDescent="0.2">
      <c r="D13" s="1"/>
    </row>
    <row r="15" spans="1:11" x14ac:dyDescent="0.2">
      <c r="A15" t="s">
        <v>165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 t="s">
        <v>166</v>
      </c>
      <c r="B16" s="1">
        <f>1/(10-B15+1)</f>
        <v>0.1</v>
      </c>
      <c r="C16" s="1">
        <f>1/(10-C15+1)</f>
        <v>0.1111111111111111</v>
      </c>
      <c r="D16" s="1">
        <f>1/(10-D15+1)</f>
        <v>0.125</v>
      </c>
      <c r="E16" s="1">
        <f t="shared" ref="E16:K16" si="0">1/(10-E15+1)</f>
        <v>0.14285714285714285</v>
      </c>
      <c r="F16" s="1">
        <f t="shared" si="0"/>
        <v>0.16666666666666666</v>
      </c>
      <c r="G16" s="1">
        <f t="shared" si="0"/>
        <v>0.2</v>
      </c>
      <c r="H16" s="1">
        <f t="shared" si="0"/>
        <v>0.25</v>
      </c>
      <c r="I16" s="1">
        <f t="shared" si="0"/>
        <v>0.33333333333333331</v>
      </c>
      <c r="J16" s="1">
        <f t="shared" si="0"/>
        <v>0.5</v>
      </c>
      <c r="K16" s="1">
        <f t="shared" si="0"/>
        <v>1</v>
      </c>
    </row>
    <row r="17" spans="4:6" x14ac:dyDescent="0.2">
      <c r="D17" s="5"/>
      <c r="E17" s="6"/>
      <c r="F17" s="6"/>
    </row>
    <row r="18" spans="4:6" x14ac:dyDescent="0.2">
      <c r="D18" s="5"/>
      <c r="E18" s="6"/>
      <c r="F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808B-A158-284F-9930-D604D6952601}">
  <dimension ref="A3:F47"/>
  <sheetViews>
    <sheetView topLeftCell="A8" zoomScale="108" zoomScaleNormal="130" workbookViewId="0">
      <selection activeCell="C51" sqref="C51"/>
    </sheetView>
  </sheetViews>
  <sheetFormatPr baseColWidth="10" defaultRowHeight="16" x14ac:dyDescent="0.2"/>
  <cols>
    <col min="1" max="1" width="14.6640625" bestFit="1" customWidth="1"/>
    <col min="2" max="2" width="22.5" bestFit="1" customWidth="1"/>
    <col min="3" max="3" width="30" bestFit="1" customWidth="1"/>
  </cols>
  <sheetData>
    <row r="3" spans="1:3" x14ac:dyDescent="0.2">
      <c r="A3" t="s">
        <v>331</v>
      </c>
    </row>
    <row r="4" spans="1:3" x14ac:dyDescent="0.2">
      <c r="A4" t="s">
        <v>342</v>
      </c>
      <c r="B4" t="s">
        <v>332</v>
      </c>
    </row>
    <row r="5" spans="1:3" x14ac:dyDescent="0.2">
      <c r="A5" t="s">
        <v>343</v>
      </c>
      <c r="B5" t="s">
        <v>333</v>
      </c>
    </row>
    <row r="6" spans="1:3" x14ac:dyDescent="0.2">
      <c r="A6" t="s">
        <v>344</v>
      </c>
      <c r="B6" t="s">
        <v>345</v>
      </c>
    </row>
    <row r="7" spans="1:3" x14ac:dyDescent="0.2">
      <c r="A7" t="s">
        <v>221</v>
      </c>
      <c r="B7" t="s">
        <v>340</v>
      </c>
      <c r="C7" t="s">
        <v>338</v>
      </c>
    </row>
    <row r="8" spans="1:3" x14ac:dyDescent="0.2">
      <c r="A8" t="s">
        <v>351</v>
      </c>
      <c r="B8" t="s">
        <v>335</v>
      </c>
    </row>
    <row r="9" spans="1:3" x14ac:dyDescent="0.2">
      <c r="A9" t="s">
        <v>352</v>
      </c>
      <c r="B9" t="s">
        <v>336</v>
      </c>
    </row>
    <row r="10" spans="1:3" x14ac:dyDescent="0.2">
      <c r="A10" t="s">
        <v>334</v>
      </c>
      <c r="B10" t="s">
        <v>337</v>
      </c>
    </row>
    <row r="12" spans="1:3" x14ac:dyDescent="0.2">
      <c r="A12" t="s">
        <v>177</v>
      </c>
      <c r="B12" t="s">
        <v>339</v>
      </c>
      <c r="C12" t="s">
        <v>341</v>
      </c>
    </row>
    <row r="14" spans="1:3" x14ac:dyDescent="0.2">
      <c r="A14" t="s">
        <v>344</v>
      </c>
      <c r="B14" t="s">
        <v>346</v>
      </c>
      <c r="C14" t="s">
        <v>349</v>
      </c>
    </row>
    <row r="15" spans="1:3" x14ac:dyDescent="0.2">
      <c r="A15" t="s">
        <v>347</v>
      </c>
      <c r="B15" t="s">
        <v>348</v>
      </c>
      <c r="C15" t="s">
        <v>350</v>
      </c>
    </row>
    <row r="19" spans="1:6" x14ac:dyDescent="0.2">
      <c r="A19" t="s">
        <v>222</v>
      </c>
      <c r="B19" t="s">
        <v>363</v>
      </c>
      <c r="C19" t="s">
        <v>362</v>
      </c>
      <c r="D19" t="s">
        <v>364</v>
      </c>
      <c r="E19" t="s">
        <v>365</v>
      </c>
      <c r="F19" t="s">
        <v>366</v>
      </c>
    </row>
    <row r="20" spans="1:6" x14ac:dyDescent="0.2">
      <c r="A20">
        <v>2022</v>
      </c>
      <c r="B20" s="18">
        <f>C20*(1-0.2)</f>
        <v>4729.6000000000004</v>
      </c>
      <c r="C20" s="18">
        <v>5912</v>
      </c>
      <c r="D20" s="18">
        <f>C20/0.8</f>
        <v>7390</v>
      </c>
      <c r="E20" s="18">
        <f t="shared" ref="E20:F20" si="0">D20/0.8</f>
        <v>9237.5</v>
      </c>
      <c r="F20" s="18">
        <f t="shared" si="0"/>
        <v>11546.875</v>
      </c>
    </row>
    <row r="21" spans="1:6" x14ac:dyDescent="0.2">
      <c r="A21">
        <v>2021</v>
      </c>
      <c r="B21" s="18">
        <f>C21*(1-0.2)</f>
        <v>4299.6363636363631</v>
      </c>
      <c r="C21" s="18">
        <f t="shared" ref="C21:C31" si="1">$C$20/POWER(1.1, $A$20-A21)</f>
        <v>5374.545454545454</v>
      </c>
      <c r="D21" s="18">
        <f>C21/0.8</f>
        <v>6718.1818181818171</v>
      </c>
      <c r="E21" s="18">
        <f t="shared" ref="E21:F21" si="2">D21/0.8</f>
        <v>8397.7272727272702</v>
      </c>
      <c r="F21" s="18">
        <f t="shared" si="2"/>
        <v>10497.159090909086</v>
      </c>
    </row>
    <row r="22" spans="1:6" x14ac:dyDescent="0.2">
      <c r="A22">
        <v>2020</v>
      </c>
      <c r="B22" s="18">
        <f t="shared" ref="B22:B31" si="3">C22*(1-0.2)</f>
        <v>3908.7603305785119</v>
      </c>
      <c r="C22" s="18">
        <f t="shared" si="1"/>
        <v>4885.9504132231395</v>
      </c>
      <c r="D22" s="18">
        <f t="shared" ref="D22:F31" si="4">C22/0.8</f>
        <v>6107.438016528924</v>
      </c>
      <c r="E22" s="18">
        <f t="shared" si="4"/>
        <v>7634.2975206611545</v>
      </c>
      <c r="F22" s="18">
        <f t="shared" si="4"/>
        <v>9542.8719008264434</v>
      </c>
    </row>
    <row r="23" spans="1:6" x14ac:dyDescent="0.2">
      <c r="A23">
        <v>2019</v>
      </c>
      <c r="B23" s="18">
        <f t="shared" si="3"/>
        <v>3553.4184823441014</v>
      </c>
      <c r="C23" s="18">
        <f t="shared" si="1"/>
        <v>4441.7731029301267</v>
      </c>
      <c r="D23" s="18">
        <f t="shared" si="4"/>
        <v>5552.2163786626579</v>
      </c>
      <c r="E23" s="18">
        <f t="shared" ref="E23:F23" si="5">D23/0.8</f>
        <v>6940.2704733283217</v>
      </c>
      <c r="F23" s="18">
        <f t="shared" si="5"/>
        <v>8675.3380916604019</v>
      </c>
    </row>
    <row r="24" spans="1:6" x14ac:dyDescent="0.2">
      <c r="A24">
        <v>2018</v>
      </c>
      <c r="B24" s="18">
        <f t="shared" si="3"/>
        <v>3230.3804384946379</v>
      </c>
      <c r="C24" s="18">
        <f t="shared" si="1"/>
        <v>4037.975548118297</v>
      </c>
      <c r="D24" s="18">
        <f t="shared" si="4"/>
        <v>5047.4694351478711</v>
      </c>
      <c r="E24" s="18">
        <f t="shared" ref="E24:F24" si="6">D24/0.8</f>
        <v>6309.3367939348382</v>
      </c>
      <c r="F24" s="18">
        <f t="shared" si="6"/>
        <v>7886.670992418547</v>
      </c>
    </row>
    <row r="25" spans="1:6" x14ac:dyDescent="0.2">
      <c r="A25">
        <v>2017</v>
      </c>
      <c r="B25" s="18">
        <f t="shared" si="3"/>
        <v>2936.7094895405794</v>
      </c>
      <c r="C25" s="18">
        <f t="shared" si="1"/>
        <v>3670.8868619257241</v>
      </c>
      <c r="D25" s="18">
        <f t="shared" si="4"/>
        <v>4588.6085774071553</v>
      </c>
      <c r="E25" s="18">
        <f t="shared" ref="E25:F25" si="7">D25/0.8</f>
        <v>5735.7607217589439</v>
      </c>
      <c r="F25" s="18">
        <f t="shared" si="7"/>
        <v>7169.7009021986796</v>
      </c>
    </row>
    <row r="26" spans="1:6" x14ac:dyDescent="0.2">
      <c r="A26">
        <v>2016</v>
      </c>
      <c r="B26" s="18">
        <f t="shared" si="3"/>
        <v>2669.7358995823447</v>
      </c>
      <c r="C26" s="18">
        <f t="shared" si="1"/>
        <v>3337.1698744779305</v>
      </c>
      <c r="D26" s="18">
        <f t="shared" si="4"/>
        <v>4171.4623430974125</v>
      </c>
      <c r="E26" s="18">
        <f t="shared" ref="E26:F26" si="8">D26/0.8</f>
        <v>5214.3279288717649</v>
      </c>
      <c r="F26" s="18">
        <f t="shared" si="8"/>
        <v>6517.9099110897059</v>
      </c>
    </row>
    <row r="27" spans="1:6" x14ac:dyDescent="0.2">
      <c r="A27">
        <v>2015</v>
      </c>
      <c r="B27" s="18">
        <f t="shared" si="3"/>
        <v>2427.0326359839491</v>
      </c>
      <c r="C27" s="18">
        <f t="shared" si="1"/>
        <v>3033.7907949799364</v>
      </c>
      <c r="D27" s="18">
        <f t="shared" si="4"/>
        <v>3792.2384937249203</v>
      </c>
      <c r="E27" s="18">
        <f t="shared" ref="E27:F27" si="9">D27/0.8</f>
        <v>4740.2981171561505</v>
      </c>
      <c r="F27" s="18">
        <f t="shared" si="9"/>
        <v>5925.3726464451875</v>
      </c>
    </row>
    <row r="28" spans="1:6" x14ac:dyDescent="0.2">
      <c r="A28">
        <v>2014</v>
      </c>
      <c r="B28" s="18">
        <f t="shared" si="3"/>
        <v>2206.393305439954</v>
      </c>
      <c r="C28" s="18">
        <f t="shared" si="1"/>
        <v>2757.9916317999423</v>
      </c>
      <c r="D28" s="18">
        <f t="shared" si="4"/>
        <v>3447.4895397499276</v>
      </c>
      <c r="E28" s="18">
        <f t="shared" ref="E28:F28" si="10">D28/0.8</f>
        <v>4309.3619246874096</v>
      </c>
      <c r="F28" s="18">
        <f t="shared" si="10"/>
        <v>5386.7024058592615</v>
      </c>
    </row>
    <row r="29" spans="1:6" x14ac:dyDescent="0.2">
      <c r="A29">
        <v>2013</v>
      </c>
      <c r="B29" s="18">
        <f t="shared" si="3"/>
        <v>2005.8120958545035</v>
      </c>
      <c r="C29" s="18">
        <f t="shared" si="1"/>
        <v>2507.2651198181293</v>
      </c>
      <c r="D29" s="18">
        <f t="shared" si="4"/>
        <v>3134.0813997726614</v>
      </c>
      <c r="E29" s="18">
        <f t="shared" ref="E29:F29" si="11">D29/0.8</f>
        <v>3917.6017497158264</v>
      </c>
      <c r="F29" s="18">
        <f t="shared" si="11"/>
        <v>4897.0021871447825</v>
      </c>
    </row>
    <row r="30" spans="1:6" x14ac:dyDescent="0.2">
      <c r="A30">
        <v>2012</v>
      </c>
      <c r="B30" s="18">
        <f t="shared" si="3"/>
        <v>1823.4655416859123</v>
      </c>
      <c r="C30" s="18">
        <f t="shared" si="1"/>
        <v>2279.3319271073901</v>
      </c>
      <c r="D30" s="18">
        <f t="shared" si="4"/>
        <v>2849.1649088842373</v>
      </c>
      <c r="E30" s="18">
        <f t="shared" ref="E30:F30" si="12">D30/0.8</f>
        <v>3561.4561361052965</v>
      </c>
      <c r="F30" s="18">
        <f t="shared" si="12"/>
        <v>4451.8201701316202</v>
      </c>
    </row>
    <row r="31" spans="1:6" x14ac:dyDescent="0.2">
      <c r="A31">
        <v>2011</v>
      </c>
      <c r="B31" s="19">
        <f t="shared" si="3"/>
        <v>1657.6959469871927</v>
      </c>
      <c r="C31" s="18">
        <f t="shared" si="1"/>
        <v>2072.1199337339908</v>
      </c>
      <c r="D31" s="18">
        <f t="shared" si="4"/>
        <v>2590.1499171674882</v>
      </c>
      <c r="E31" s="18">
        <f t="shared" ref="E31:F31" si="13">D31/0.8</f>
        <v>3237.6873964593601</v>
      </c>
      <c r="F31" s="18">
        <f t="shared" si="13"/>
        <v>4047.1092455742</v>
      </c>
    </row>
    <row r="33" spans="1:6" x14ac:dyDescent="0.2">
      <c r="A33" t="s">
        <v>367</v>
      </c>
    </row>
    <row r="34" spans="1:6" x14ac:dyDescent="0.2">
      <c r="A34" t="s">
        <v>370</v>
      </c>
    </row>
    <row r="35" spans="1:6" x14ac:dyDescent="0.2">
      <c r="A35" t="s">
        <v>371</v>
      </c>
    </row>
    <row r="37" spans="1:6" x14ac:dyDescent="0.2">
      <c r="A37" t="s">
        <v>368</v>
      </c>
    </row>
    <row r="38" spans="1:6" x14ac:dyDescent="0.2">
      <c r="A38" t="s">
        <v>369</v>
      </c>
    </row>
    <row r="39" spans="1:6" x14ac:dyDescent="0.2">
      <c r="B39">
        <f>1657.7 * 1.1^(2021-2011) * (1+(12-1)/120) / 0.8^(5-4)</f>
        <v>5867.2264663553979</v>
      </c>
    </row>
    <row r="41" spans="1:6" x14ac:dyDescent="0.2">
      <c r="A41" t="s">
        <v>442</v>
      </c>
      <c r="B41">
        <v>1657.7</v>
      </c>
    </row>
    <row r="42" spans="1:6" x14ac:dyDescent="0.2">
      <c r="A42" t="s">
        <v>437</v>
      </c>
      <c r="B42">
        <v>2022</v>
      </c>
    </row>
    <row r="43" spans="1:6" x14ac:dyDescent="0.2">
      <c r="A43" t="s">
        <v>438</v>
      </c>
      <c r="B43">
        <v>1</v>
      </c>
    </row>
    <row r="44" spans="1:6" x14ac:dyDescent="0.2">
      <c r="A44" t="s">
        <v>439</v>
      </c>
      <c r="B44">
        <v>5</v>
      </c>
      <c r="C44">
        <v>4</v>
      </c>
      <c r="D44">
        <v>3</v>
      </c>
      <c r="E44">
        <v>2</v>
      </c>
      <c r="F44">
        <v>1</v>
      </c>
    </row>
    <row r="45" spans="1:6" x14ac:dyDescent="0.2">
      <c r="A45" t="s">
        <v>440</v>
      </c>
      <c r="B45" s="18">
        <f>$B$41 * 1.1^($B$42-2011) * (1+($B$43-1)/120) / 0.8^(5-B44)</f>
        <v>4729.6115637185512</v>
      </c>
      <c r="C45" s="18">
        <f t="shared" ref="C45:F45" si="14">$B$41 * 1.1^($B$42-2011) * (1+($B$43-1)/120) / 0.8^(5-C44)</f>
        <v>5912.0144546481888</v>
      </c>
      <c r="D45" s="18">
        <f t="shared" si="14"/>
        <v>7390.0180683102344</v>
      </c>
      <c r="E45" s="18">
        <f t="shared" si="14"/>
        <v>9237.5225853877928</v>
      </c>
      <c r="F45" s="18">
        <f t="shared" si="14"/>
        <v>11546.903231734739</v>
      </c>
    </row>
    <row r="46" spans="1:6" x14ac:dyDescent="0.2">
      <c r="A46" t="s">
        <v>441</v>
      </c>
      <c r="B46">
        <v>5568</v>
      </c>
    </row>
    <row r="47" spans="1:6" x14ac:dyDescent="0.2">
      <c r="B47" s="24">
        <f>(B45-$B$46)/$B$46</f>
        <v>-0.15057263582640962</v>
      </c>
      <c r="C47" s="24">
        <f>(C45-$B$46)/$B$46</f>
        <v>6.1784205216987929E-2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4429-76A5-6741-B295-374B2D096E0C}">
  <dimension ref="A1:K59"/>
  <sheetViews>
    <sheetView zoomScale="110" zoomScaleNormal="110" workbookViewId="0">
      <selection activeCell="J40" sqref="J40"/>
    </sheetView>
  </sheetViews>
  <sheetFormatPr baseColWidth="10" defaultRowHeight="16" x14ac:dyDescent="0.2"/>
  <cols>
    <col min="1" max="1" width="13.1640625" bestFit="1" customWidth="1"/>
    <col min="2" max="2" width="10.5" bestFit="1" customWidth="1"/>
    <col min="3" max="3" width="11.1640625" bestFit="1" customWidth="1"/>
    <col min="4" max="5" width="11.5" bestFit="1" customWidth="1"/>
    <col min="6" max="7" width="11.1640625" bestFit="1" customWidth="1"/>
    <col min="8" max="8" width="9.1640625" bestFit="1" customWidth="1"/>
    <col min="9" max="9" width="7.83203125" bestFit="1" customWidth="1"/>
    <col min="10" max="10" width="7.1640625" bestFit="1" customWidth="1"/>
  </cols>
  <sheetData>
    <row r="1" spans="1:10" x14ac:dyDescent="0.2">
      <c r="A1" t="s">
        <v>177</v>
      </c>
      <c r="B1" s="17" t="s">
        <v>178</v>
      </c>
      <c r="C1" t="s">
        <v>179</v>
      </c>
      <c r="D1" t="s">
        <v>293</v>
      </c>
      <c r="E1" t="s">
        <v>292</v>
      </c>
      <c r="F1" t="s">
        <v>182</v>
      </c>
      <c r="G1" t="s">
        <v>183</v>
      </c>
      <c r="I1" t="s">
        <v>294</v>
      </c>
      <c r="J1" t="s">
        <v>295</v>
      </c>
    </row>
    <row r="2" spans="1:10" x14ac:dyDescent="0.2">
      <c r="A2" t="s">
        <v>184</v>
      </c>
      <c r="B2" s="17" t="s">
        <v>185</v>
      </c>
      <c r="C2" t="s">
        <v>177</v>
      </c>
      <c r="D2" s="6">
        <v>0.1</v>
      </c>
      <c r="E2" s="5">
        <v>6.4000000000000001E-2</v>
      </c>
      <c r="F2" s="5">
        <v>2.2700000000000001E-2</v>
      </c>
      <c r="G2" s="5">
        <v>0.17499999999999999</v>
      </c>
      <c r="H2" s="5">
        <v>8.6099999999999996E-2</v>
      </c>
      <c r="J2" s="1">
        <f t="shared" ref="J2" si="0">(D2-H2)/(D2-E2)</f>
        <v>0.38611111111111135</v>
      </c>
    </row>
    <row r="3" spans="1:10" x14ac:dyDescent="0.2">
      <c r="A3" t="s">
        <v>186</v>
      </c>
      <c r="B3" s="17" t="s">
        <v>187</v>
      </c>
      <c r="C3" t="s">
        <v>177</v>
      </c>
      <c r="D3" s="6">
        <v>0.1</v>
      </c>
      <c r="E3" s="5">
        <v>6.4000000000000001E-2</v>
      </c>
      <c r="F3" s="5">
        <v>2.2200000000000001E-2</v>
      </c>
      <c r="G3" s="5">
        <v>0.16600000000000001</v>
      </c>
      <c r="H3" s="5">
        <v>0.105</v>
      </c>
      <c r="I3" s="1">
        <f t="shared" ref="I3:I15" si="1">(G3-H3)/(G3-D3)</f>
        <v>0.92424242424242442</v>
      </c>
    </row>
    <row r="4" spans="1:10" x14ac:dyDescent="0.2">
      <c r="A4" t="s">
        <v>188</v>
      </c>
      <c r="B4" s="17" t="s">
        <v>189</v>
      </c>
      <c r="C4" t="s">
        <v>177</v>
      </c>
      <c r="D4" s="6">
        <v>0.1</v>
      </c>
      <c r="E4" s="5">
        <v>6.4000000000000001E-2</v>
      </c>
      <c r="F4" s="5">
        <v>2.2200000000000001E-2</v>
      </c>
      <c r="G4" s="5">
        <v>0.16600000000000001</v>
      </c>
      <c r="H4" s="5">
        <v>9.7899999999999987E-2</v>
      </c>
      <c r="I4" s="1"/>
      <c r="J4" s="1">
        <f t="shared" ref="J4" si="2">(D4-H4)/(D4-E4)</f>
        <v>5.8333333333333841E-2</v>
      </c>
    </row>
    <row r="5" spans="1:10" x14ac:dyDescent="0.2">
      <c r="A5" t="s">
        <v>190</v>
      </c>
      <c r="B5" s="17" t="s">
        <v>191</v>
      </c>
      <c r="C5" t="s">
        <v>177</v>
      </c>
      <c r="D5" s="6">
        <v>0.1</v>
      </c>
      <c r="E5" s="5">
        <v>6.4000000000000001E-2</v>
      </c>
      <c r="F5" s="5">
        <v>2.5000000000000001E-2</v>
      </c>
      <c r="G5" s="5">
        <v>0.16600000000000001</v>
      </c>
      <c r="H5" s="5">
        <v>0.1003</v>
      </c>
      <c r="I5" s="1">
        <f t="shared" si="1"/>
        <v>0.99545454545454548</v>
      </c>
    </row>
    <row r="6" spans="1:10" x14ac:dyDescent="0.2">
      <c r="A6" t="s">
        <v>192</v>
      </c>
      <c r="B6" s="17" t="s">
        <v>193</v>
      </c>
      <c r="C6" t="s">
        <v>177</v>
      </c>
      <c r="D6" s="6">
        <v>0.1</v>
      </c>
      <c r="E6" s="5">
        <v>6.4000000000000001E-2</v>
      </c>
      <c r="F6" s="5">
        <v>1.6E-2</v>
      </c>
      <c r="G6" s="5">
        <v>0.16600000000000001</v>
      </c>
      <c r="H6" s="5">
        <v>8.7599999999999997E-2</v>
      </c>
      <c r="I6" s="1"/>
      <c r="J6" s="1">
        <f t="shared" ref="J6:J7" si="3">(D6-H6)/(D6-E6)</f>
        <v>0.34444444444444461</v>
      </c>
    </row>
    <row r="7" spans="1:10" x14ac:dyDescent="0.2">
      <c r="A7" t="s">
        <v>194</v>
      </c>
      <c r="B7" s="17" t="s">
        <v>195</v>
      </c>
      <c r="C7" t="s">
        <v>177</v>
      </c>
      <c r="D7" s="6">
        <v>0.1</v>
      </c>
      <c r="E7" s="5">
        <v>6.4000000000000001E-2</v>
      </c>
      <c r="F7" s="5">
        <v>2.2200000000000001E-2</v>
      </c>
      <c r="G7" s="5">
        <v>0.16600000000000001</v>
      </c>
      <c r="H7" s="5">
        <v>9.9000000000000005E-2</v>
      </c>
      <c r="I7" s="1"/>
      <c r="J7" s="1">
        <f t="shared" si="3"/>
        <v>2.7777777777777801E-2</v>
      </c>
    </row>
    <row r="8" spans="1:10" x14ac:dyDescent="0.2">
      <c r="A8" t="s">
        <v>196</v>
      </c>
      <c r="B8" s="17" t="s">
        <v>197</v>
      </c>
      <c r="C8" t="s">
        <v>177</v>
      </c>
      <c r="D8" s="6">
        <v>0.1</v>
      </c>
      <c r="E8" s="5">
        <v>6.4000000000000001E-2</v>
      </c>
      <c r="F8" s="5">
        <v>2.2200000000000001E-2</v>
      </c>
      <c r="G8" s="5">
        <v>0.14499999999999999</v>
      </c>
      <c r="H8" s="5">
        <v>9.1499999999999998E-2</v>
      </c>
      <c r="I8" s="1"/>
      <c r="J8" s="1">
        <f>(D8-H8)/(D8-E8)</f>
        <v>0.2361111111111113</v>
      </c>
    </row>
    <row r="9" spans="1:10" x14ac:dyDescent="0.2">
      <c r="A9" t="s">
        <v>198</v>
      </c>
      <c r="B9" s="17" t="s">
        <v>199</v>
      </c>
      <c r="C9" t="s">
        <v>177</v>
      </c>
      <c r="D9" s="6">
        <v>0.1</v>
      </c>
      <c r="E9" s="5">
        <v>6.4000000000000001E-2</v>
      </c>
      <c r="F9" s="5">
        <v>2.1700000000000001E-2</v>
      </c>
      <c r="G9" s="5">
        <v>0.13900000000000001</v>
      </c>
      <c r="H9" s="5">
        <v>8.7499999999999994E-2</v>
      </c>
      <c r="I9" s="1"/>
      <c r="J9" s="1">
        <f>(D9-H9)/(D9-E9)</f>
        <v>0.34722222222222249</v>
      </c>
    </row>
    <row r="10" spans="1:10" x14ac:dyDescent="0.2">
      <c r="A10" t="s">
        <v>200</v>
      </c>
      <c r="B10" s="17" t="s">
        <v>201</v>
      </c>
      <c r="C10" t="s">
        <v>177</v>
      </c>
      <c r="D10" s="6">
        <v>0.1</v>
      </c>
      <c r="E10" s="5">
        <v>6.4000000000000001E-2</v>
      </c>
      <c r="F10" s="5">
        <v>3.4500000000000003E-2</v>
      </c>
      <c r="G10" s="5">
        <v>0.17499999999999999</v>
      </c>
      <c r="H10" s="5">
        <v>9.4200000000000006E-2</v>
      </c>
      <c r="I10" s="1"/>
      <c r="J10" s="1">
        <f>(D10-H10)/(D10-E10)</f>
        <v>0.16111111111111109</v>
      </c>
    </row>
    <row r="11" spans="1:10" x14ac:dyDescent="0.2">
      <c r="A11" t="s">
        <v>202</v>
      </c>
      <c r="B11" s="17" t="s">
        <v>203</v>
      </c>
      <c r="C11" t="s">
        <v>177</v>
      </c>
      <c r="D11" s="6">
        <v>0.1</v>
      </c>
      <c r="E11" s="5">
        <v>6.4000000000000001E-2</v>
      </c>
      <c r="F11" s="5">
        <v>4.7600000000000003E-2</v>
      </c>
      <c r="G11" s="5">
        <v>0.14499999999999999</v>
      </c>
      <c r="H11" s="5">
        <v>8.9099999999999999E-2</v>
      </c>
      <c r="I11" s="1"/>
      <c r="J11" s="1">
        <f>(D11-H11)/(D11-E11)</f>
        <v>0.30277777777777792</v>
      </c>
    </row>
    <row r="12" spans="1:10" x14ac:dyDescent="0.2">
      <c r="I12" s="1"/>
      <c r="J12" s="1"/>
    </row>
    <row r="13" spans="1:10" x14ac:dyDescent="0.2">
      <c r="A13" t="s">
        <v>204</v>
      </c>
      <c r="B13" s="17" t="s">
        <v>178</v>
      </c>
      <c r="C13" t="s">
        <v>179</v>
      </c>
      <c r="D13" t="s">
        <v>180</v>
      </c>
      <c r="E13" t="s">
        <v>181</v>
      </c>
      <c r="F13" t="s">
        <v>182</v>
      </c>
      <c r="G13" t="s">
        <v>183</v>
      </c>
      <c r="I13" s="1"/>
      <c r="J13" s="1"/>
    </row>
    <row r="14" spans="1:10" x14ac:dyDescent="0.2">
      <c r="A14" t="s">
        <v>205</v>
      </c>
      <c r="B14" s="17" t="s">
        <v>206</v>
      </c>
      <c r="C14" t="s">
        <v>204</v>
      </c>
      <c r="D14">
        <v>0.9</v>
      </c>
      <c r="E14">
        <v>1.1499999999999999</v>
      </c>
      <c r="F14">
        <v>1.4</v>
      </c>
      <c r="G14">
        <v>0.75</v>
      </c>
      <c r="H14">
        <v>0.88</v>
      </c>
      <c r="I14" s="1">
        <f t="shared" si="1"/>
        <v>0.86666666666666659</v>
      </c>
      <c r="J14" s="1"/>
    </row>
    <row r="15" spans="1:10" x14ac:dyDescent="0.2">
      <c r="A15" t="s">
        <v>207</v>
      </c>
      <c r="B15" s="17" t="s">
        <v>208</v>
      </c>
      <c r="C15" t="s">
        <v>204</v>
      </c>
      <c r="D15">
        <v>1.6</v>
      </c>
      <c r="E15">
        <v>2.2000000000000002</v>
      </c>
      <c r="F15">
        <v>4</v>
      </c>
      <c r="G15">
        <v>1.2</v>
      </c>
      <c r="H15">
        <v>1.2</v>
      </c>
      <c r="I15" s="1">
        <f t="shared" si="1"/>
        <v>0</v>
      </c>
      <c r="J15" s="1"/>
    </row>
    <row r="16" spans="1:10" x14ac:dyDescent="0.2">
      <c r="A16" t="s">
        <v>209</v>
      </c>
      <c r="B16" s="17" t="s">
        <v>210</v>
      </c>
      <c r="C16" t="s">
        <v>204</v>
      </c>
      <c r="D16">
        <v>1.6</v>
      </c>
      <c r="E16">
        <v>2.2000000000000002</v>
      </c>
      <c r="F16">
        <v>4.8</v>
      </c>
      <c r="G16">
        <v>1.05</v>
      </c>
      <c r="H16">
        <v>1.88</v>
      </c>
      <c r="I16" s="1"/>
      <c r="J16" s="1">
        <f t="shared" ref="J16" si="4">(D16-H16)/(D16-E16)</f>
        <v>0.46666666666666629</v>
      </c>
    </row>
    <row r="17" spans="1:11" x14ac:dyDescent="0.2">
      <c r="A17" t="s">
        <v>211</v>
      </c>
      <c r="B17" s="17" t="s">
        <v>212</v>
      </c>
      <c r="C17" t="s">
        <v>204</v>
      </c>
      <c r="D17">
        <v>2.6</v>
      </c>
      <c r="E17">
        <v>4</v>
      </c>
      <c r="F17">
        <v>9.1999999999999993</v>
      </c>
      <c r="G17">
        <v>2.1</v>
      </c>
      <c r="H17">
        <v>4.25</v>
      </c>
      <c r="I17" s="1"/>
      <c r="K17" s="1">
        <f>(E17-H17)/(E17-F17)</f>
        <v>4.8076923076923087E-2</v>
      </c>
    </row>
    <row r="18" spans="1:11" x14ac:dyDescent="0.2">
      <c r="A18" t="s">
        <v>213</v>
      </c>
      <c r="B18" s="17" t="s">
        <v>214</v>
      </c>
      <c r="C18" t="s">
        <v>204</v>
      </c>
      <c r="D18">
        <v>2.2999999999999998</v>
      </c>
      <c r="E18">
        <v>3</v>
      </c>
      <c r="F18">
        <v>5.9</v>
      </c>
      <c r="G18">
        <v>1.82</v>
      </c>
      <c r="I18" s="1"/>
      <c r="K18" s="1"/>
    </row>
    <row r="19" spans="1:11" x14ac:dyDescent="0.2">
      <c r="A19" t="s">
        <v>215</v>
      </c>
      <c r="B19" s="17" t="s">
        <v>216</v>
      </c>
      <c r="C19" t="s">
        <v>204</v>
      </c>
      <c r="D19">
        <v>1.1000000000000001</v>
      </c>
      <c r="E19">
        <v>1.8</v>
      </c>
      <c r="F19">
        <v>3.6</v>
      </c>
      <c r="G19">
        <v>0.92</v>
      </c>
      <c r="I19" s="1"/>
      <c r="K19" s="1"/>
    </row>
    <row r="20" spans="1:11" x14ac:dyDescent="0.2">
      <c r="A20" t="s">
        <v>217</v>
      </c>
      <c r="B20" s="17" t="s">
        <v>218</v>
      </c>
      <c r="C20" t="s">
        <v>204</v>
      </c>
      <c r="D20">
        <v>1.8</v>
      </c>
      <c r="E20">
        <v>2.1</v>
      </c>
      <c r="F20">
        <v>3.1</v>
      </c>
      <c r="G20">
        <v>1.4</v>
      </c>
      <c r="I20" s="1"/>
      <c r="K20" s="1"/>
    </row>
    <row r="21" spans="1:11" x14ac:dyDescent="0.2">
      <c r="A21" t="s">
        <v>219</v>
      </c>
      <c r="C21" s="17" t="s">
        <v>220</v>
      </c>
      <c r="D21">
        <v>0.55000000000000004</v>
      </c>
      <c r="E21">
        <v>0.7</v>
      </c>
      <c r="I21" s="1"/>
      <c r="K21" s="1"/>
    </row>
    <row r="22" spans="1:11" x14ac:dyDescent="0.2">
      <c r="I22" s="1"/>
      <c r="K22" s="1"/>
    </row>
    <row r="23" spans="1:11" x14ac:dyDescent="0.2">
      <c r="A23" t="s">
        <v>221</v>
      </c>
      <c r="B23" s="17" t="s">
        <v>178</v>
      </c>
      <c r="C23" t="s">
        <v>179</v>
      </c>
      <c r="D23" t="s">
        <v>180</v>
      </c>
      <c r="E23" t="s">
        <v>181</v>
      </c>
      <c r="F23" t="s">
        <v>182</v>
      </c>
      <c r="G23" t="s">
        <v>183</v>
      </c>
      <c r="I23" s="1"/>
      <c r="K23" s="1"/>
    </row>
    <row r="24" spans="1:11" x14ac:dyDescent="0.2">
      <c r="A24" t="s">
        <v>222</v>
      </c>
      <c r="B24" s="17" t="s">
        <v>223</v>
      </c>
      <c r="C24" t="s">
        <v>221</v>
      </c>
      <c r="D24">
        <v>14</v>
      </c>
      <c r="E24">
        <v>21</v>
      </c>
      <c r="F24">
        <v>54</v>
      </c>
      <c r="G24">
        <v>11</v>
      </c>
      <c r="I24" s="1"/>
      <c r="K24" s="1"/>
    </row>
    <row r="25" spans="1:11" x14ac:dyDescent="0.2">
      <c r="A25" t="s">
        <v>224</v>
      </c>
      <c r="B25" s="17" t="s">
        <v>225</v>
      </c>
      <c r="C25" t="s">
        <v>221</v>
      </c>
      <c r="D25">
        <v>13</v>
      </c>
      <c r="E25">
        <v>20</v>
      </c>
      <c r="F25">
        <v>30</v>
      </c>
      <c r="G25">
        <v>8</v>
      </c>
      <c r="I25" s="1"/>
      <c r="K25" s="1"/>
    </row>
    <row r="26" spans="1:11" x14ac:dyDescent="0.2">
      <c r="A26" t="s">
        <v>226</v>
      </c>
      <c r="B26" s="17" t="s">
        <v>227</v>
      </c>
      <c r="C26" t="s">
        <v>221</v>
      </c>
      <c r="D26">
        <v>24</v>
      </c>
      <c r="E26">
        <v>30</v>
      </c>
      <c r="F26">
        <v>60</v>
      </c>
      <c r="G26">
        <v>17</v>
      </c>
      <c r="I26" s="1"/>
      <c r="K26" s="1"/>
    </row>
    <row r="27" spans="1:11" x14ac:dyDescent="0.2">
      <c r="A27" t="s">
        <v>228</v>
      </c>
      <c r="B27" s="17" t="s">
        <v>229</v>
      </c>
      <c r="C27" t="s">
        <v>221</v>
      </c>
      <c r="D27">
        <v>25</v>
      </c>
      <c r="E27">
        <v>40</v>
      </c>
      <c r="F27">
        <v>93</v>
      </c>
      <c r="G27">
        <v>17</v>
      </c>
      <c r="I27" s="1"/>
      <c r="K27" s="1"/>
    </row>
    <row r="28" spans="1:11" x14ac:dyDescent="0.2">
      <c r="A28" t="s">
        <v>230</v>
      </c>
      <c r="B28" s="17" t="s">
        <v>231</v>
      </c>
      <c r="C28" t="s">
        <v>221</v>
      </c>
      <c r="D28">
        <v>11</v>
      </c>
      <c r="E28">
        <v>17</v>
      </c>
      <c r="F28">
        <v>49</v>
      </c>
      <c r="G28">
        <v>8</v>
      </c>
      <c r="H28">
        <v>13.4</v>
      </c>
      <c r="I28" s="1"/>
      <c r="J28" s="1">
        <f>(D28-H28)/(D28-E28)</f>
        <v>0.40000000000000008</v>
      </c>
      <c r="K28" s="1"/>
    </row>
    <row r="29" spans="1:11" x14ac:dyDescent="0.2">
      <c r="A29" t="s">
        <v>232</v>
      </c>
      <c r="B29" s="17" t="s">
        <v>233</v>
      </c>
      <c r="C29" t="s">
        <v>221</v>
      </c>
      <c r="D29">
        <v>21</v>
      </c>
      <c r="E29">
        <v>27</v>
      </c>
      <c r="F29">
        <v>36</v>
      </c>
      <c r="G29">
        <v>17</v>
      </c>
      <c r="I29" s="1"/>
      <c r="J29" s="1"/>
      <c r="K29" s="1"/>
    </row>
    <row r="30" spans="1:11" x14ac:dyDescent="0.2">
      <c r="A30" t="s">
        <v>234</v>
      </c>
      <c r="B30" s="17" t="s">
        <v>235</v>
      </c>
      <c r="C30" t="s">
        <v>221</v>
      </c>
      <c r="D30">
        <v>25</v>
      </c>
      <c r="E30">
        <v>45</v>
      </c>
      <c r="F30">
        <v>138</v>
      </c>
      <c r="G30">
        <v>27</v>
      </c>
      <c r="I30" s="1"/>
      <c r="J30" s="1"/>
      <c r="K30" s="1"/>
    </row>
    <row r="31" spans="1:11" x14ac:dyDescent="0.2">
      <c r="A31" t="s">
        <v>236</v>
      </c>
      <c r="B31" s="17" t="s">
        <v>237</v>
      </c>
      <c r="C31" t="s">
        <v>221</v>
      </c>
      <c r="D31">
        <v>18</v>
      </c>
      <c r="E31">
        <v>24</v>
      </c>
      <c r="F31">
        <v>64</v>
      </c>
      <c r="G31">
        <v>12</v>
      </c>
      <c r="I31" s="1"/>
      <c r="J31" s="1"/>
      <c r="K31" s="1"/>
    </row>
    <row r="32" spans="1:11" x14ac:dyDescent="0.2">
      <c r="A32" t="s">
        <v>238</v>
      </c>
      <c r="B32" s="17" t="s">
        <v>239</v>
      </c>
      <c r="C32" t="s">
        <v>221</v>
      </c>
      <c r="D32">
        <v>28</v>
      </c>
      <c r="E32">
        <v>36</v>
      </c>
      <c r="F32">
        <v>63</v>
      </c>
      <c r="G32">
        <v>23</v>
      </c>
      <c r="I32" s="1"/>
      <c r="J32" s="1"/>
      <c r="K32" s="1"/>
    </row>
    <row r="33" spans="1:11" x14ac:dyDescent="0.2">
      <c r="A33" t="s">
        <v>240</v>
      </c>
      <c r="B33" s="17" t="s">
        <v>241</v>
      </c>
      <c r="C33" t="s">
        <v>221</v>
      </c>
      <c r="D33">
        <v>55</v>
      </c>
      <c r="E33">
        <v>75</v>
      </c>
      <c r="F33">
        <v>140</v>
      </c>
      <c r="G33">
        <v>32</v>
      </c>
      <c r="H33" s="3">
        <v>50</v>
      </c>
      <c r="I33" s="1">
        <f t="shared" ref="I33:I34" si="5">(G33-H33)/(G33-D33)</f>
        <v>0.78260869565217395</v>
      </c>
      <c r="J33" s="1"/>
      <c r="K33" s="1"/>
    </row>
    <row r="34" spans="1:11" x14ac:dyDescent="0.2">
      <c r="A34" t="s">
        <v>242</v>
      </c>
      <c r="B34" s="17" t="s">
        <v>243</v>
      </c>
      <c r="C34" t="s">
        <v>221</v>
      </c>
      <c r="D34">
        <v>57</v>
      </c>
      <c r="E34">
        <v>81</v>
      </c>
      <c r="F34">
        <v>135</v>
      </c>
      <c r="G34">
        <v>33</v>
      </c>
      <c r="H34">
        <v>52.75</v>
      </c>
      <c r="I34" s="1">
        <f t="shared" si="5"/>
        <v>0.82291666666666663</v>
      </c>
      <c r="J34" s="1"/>
      <c r="K34" s="1"/>
    </row>
    <row r="35" spans="1:11" x14ac:dyDescent="0.2">
      <c r="A35" t="s">
        <v>244</v>
      </c>
      <c r="B35" s="17" t="s">
        <v>245</v>
      </c>
      <c r="C35" t="s">
        <v>221</v>
      </c>
      <c r="D35">
        <v>30</v>
      </c>
      <c r="E35">
        <v>40</v>
      </c>
      <c r="F35">
        <v>53</v>
      </c>
      <c r="G35">
        <v>17</v>
      </c>
      <c r="I35" s="1"/>
      <c r="J35" s="1"/>
      <c r="K35" s="1"/>
    </row>
    <row r="36" spans="1:11" x14ac:dyDescent="0.2">
      <c r="A36" t="s">
        <v>246</v>
      </c>
      <c r="B36" s="17" t="s">
        <v>247</v>
      </c>
      <c r="C36" t="s">
        <v>221</v>
      </c>
      <c r="D36">
        <v>30</v>
      </c>
      <c r="E36">
        <v>40</v>
      </c>
      <c r="F36">
        <v>71</v>
      </c>
      <c r="G36">
        <v>15</v>
      </c>
      <c r="I36" s="1"/>
      <c r="J36" s="1"/>
      <c r="K36" s="1"/>
    </row>
    <row r="37" spans="1:11" x14ac:dyDescent="0.2">
      <c r="A37" t="s">
        <v>248</v>
      </c>
      <c r="B37" s="17" t="s">
        <v>249</v>
      </c>
      <c r="C37" t="s">
        <v>221</v>
      </c>
      <c r="D37">
        <v>30</v>
      </c>
      <c r="E37">
        <v>40</v>
      </c>
      <c r="F37">
        <v>65</v>
      </c>
      <c r="G37">
        <v>18</v>
      </c>
      <c r="I37" s="1"/>
      <c r="J37" s="1"/>
      <c r="K37" s="1"/>
    </row>
    <row r="38" spans="1:11" x14ac:dyDescent="0.2">
      <c r="A38" t="s">
        <v>250</v>
      </c>
      <c r="B38" s="17" t="s">
        <v>251</v>
      </c>
      <c r="C38" t="s">
        <v>221</v>
      </c>
      <c r="D38">
        <v>18</v>
      </c>
      <c r="E38">
        <v>26</v>
      </c>
      <c r="F38">
        <v>45</v>
      </c>
      <c r="G38">
        <v>15</v>
      </c>
      <c r="H38">
        <v>29.39</v>
      </c>
      <c r="I38" s="1"/>
      <c r="J38" s="1"/>
      <c r="K38" s="1">
        <f t="shared" ref="K38:K50" si="6">(E38-H38)/(E38-F38)</f>
        <v>0.17842105263157898</v>
      </c>
    </row>
    <row r="39" spans="1:11" x14ac:dyDescent="0.2">
      <c r="A39" t="s">
        <v>250</v>
      </c>
      <c r="B39" s="17" t="s">
        <v>252</v>
      </c>
      <c r="C39" t="s">
        <v>204</v>
      </c>
      <c r="D39">
        <v>2.2000000000000002</v>
      </c>
      <c r="E39">
        <v>4</v>
      </c>
      <c r="F39">
        <v>5.3</v>
      </c>
      <c r="G39">
        <v>1.7</v>
      </c>
      <c r="I39" s="1"/>
      <c r="J39" s="1"/>
      <c r="K39" s="1"/>
    </row>
    <row r="40" spans="1:11" x14ac:dyDescent="0.2">
      <c r="A40" t="s">
        <v>253</v>
      </c>
      <c r="B40" s="17" t="s">
        <v>254</v>
      </c>
      <c r="C40" t="s">
        <v>221</v>
      </c>
      <c r="D40">
        <v>25</v>
      </c>
      <c r="E40">
        <v>33</v>
      </c>
      <c r="F40">
        <v>45</v>
      </c>
      <c r="G40">
        <v>11</v>
      </c>
      <c r="I40" s="1"/>
      <c r="J40" s="1"/>
      <c r="K40" s="1"/>
    </row>
    <row r="41" spans="1:11" x14ac:dyDescent="0.2">
      <c r="A41" t="s">
        <v>255</v>
      </c>
      <c r="B41" s="17" t="s">
        <v>256</v>
      </c>
      <c r="C41" t="s">
        <v>221</v>
      </c>
      <c r="D41">
        <v>24</v>
      </c>
      <c r="E41">
        <v>32</v>
      </c>
      <c r="F41">
        <v>45</v>
      </c>
      <c r="G41">
        <v>16</v>
      </c>
      <c r="I41" s="1"/>
      <c r="J41" s="1"/>
      <c r="K41" s="1"/>
    </row>
    <row r="42" spans="1:11" x14ac:dyDescent="0.2">
      <c r="A42" t="s">
        <v>257</v>
      </c>
      <c r="B42" s="17" t="s">
        <v>258</v>
      </c>
      <c r="C42" t="s">
        <v>221</v>
      </c>
      <c r="D42">
        <v>33</v>
      </c>
      <c r="E42">
        <v>42</v>
      </c>
      <c r="F42">
        <v>56</v>
      </c>
      <c r="G42">
        <v>25</v>
      </c>
      <c r="I42" s="1"/>
      <c r="J42" s="1"/>
      <c r="K42" s="1"/>
    </row>
    <row r="43" spans="1:11" x14ac:dyDescent="0.2">
      <c r="A43" t="s">
        <v>259</v>
      </c>
      <c r="B43" s="17" t="s">
        <v>260</v>
      </c>
      <c r="C43" t="s">
        <v>221</v>
      </c>
      <c r="D43">
        <v>15</v>
      </c>
      <c r="E43">
        <v>30</v>
      </c>
      <c r="F43">
        <v>62</v>
      </c>
      <c r="G43">
        <v>11</v>
      </c>
      <c r="I43" s="1"/>
      <c r="J43" s="1"/>
      <c r="K43" s="1"/>
    </row>
    <row r="44" spans="1:11" x14ac:dyDescent="0.2">
      <c r="A44" t="s">
        <v>261</v>
      </c>
      <c r="B44" s="17" t="s">
        <v>262</v>
      </c>
      <c r="C44" t="s">
        <v>221</v>
      </c>
      <c r="D44">
        <v>17</v>
      </c>
      <c r="E44">
        <v>20</v>
      </c>
      <c r="F44">
        <v>60</v>
      </c>
      <c r="G44">
        <v>12</v>
      </c>
      <c r="I44" s="1"/>
      <c r="J44" s="1"/>
      <c r="K44" s="1"/>
    </row>
    <row r="45" spans="1:11" x14ac:dyDescent="0.2">
      <c r="A45" t="s">
        <v>263</v>
      </c>
      <c r="B45" s="17" t="s">
        <v>264</v>
      </c>
      <c r="C45" t="s">
        <v>221</v>
      </c>
      <c r="D45">
        <v>18</v>
      </c>
      <c r="E45">
        <v>22</v>
      </c>
      <c r="F45">
        <v>60</v>
      </c>
      <c r="G45">
        <v>13</v>
      </c>
      <c r="H45">
        <v>20.58</v>
      </c>
      <c r="I45" s="1"/>
      <c r="J45" s="1">
        <f>(D45-H45)/(D45-E45)</f>
        <v>0.64499999999999957</v>
      </c>
      <c r="K45" s="1"/>
    </row>
    <row r="46" spans="1:11" x14ac:dyDescent="0.2">
      <c r="A46" t="s">
        <v>265</v>
      </c>
      <c r="B46" s="17" t="s">
        <v>266</v>
      </c>
      <c r="C46" t="s">
        <v>221</v>
      </c>
      <c r="D46">
        <v>15</v>
      </c>
      <c r="E46">
        <v>22</v>
      </c>
      <c r="F46">
        <v>44</v>
      </c>
      <c r="G46">
        <v>11</v>
      </c>
      <c r="I46" s="1"/>
      <c r="J46" s="1"/>
      <c r="K46" s="1"/>
    </row>
    <row r="47" spans="1:11" x14ac:dyDescent="0.2">
      <c r="A47" t="s">
        <v>267</v>
      </c>
      <c r="B47" s="17" t="s">
        <v>268</v>
      </c>
      <c r="C47" t="s">
        <v>221</v>
      </c>
      <c r="D47">
        <v>20</v>
      </c>
      <c r="E47">
        <v>30</v>
      </c>
      <c r="F47">
        <v>85</v>
      </c>
      <c r="G47">
        <v>15</v>
      </c>
      <c r="H47">
        <v>31.65</v>
      </c>
      <c r="I47" s="1"/>
      <c r="J47" s="1"/>
      <c r="K47" s="1">
        <f t="shared" si="6"/>
        <v>2.9999999999999975E-2</v>
      </c>
    </row>
    <row r="48" spans="1:11" x14ac:dyDescent="0.2">
      <c r="A48" t="s">
        <v>269</v>
      </c>
      <c r="B48" s="17" t="s">
        <v>270</v>
      </c>
      <c r="C48" t="s">
        <v>221</v>
      </c>
      <c r="D48">
        <v>15</v>
      </c>
      <c r="E48">
        <v>25</v>
      </c>
      <c r="F48">
        <v>44</v>
      </c>
      <c r="G48">
        <v>5.8</v>
      </c>
      <c r="H48">
        <v>25.76</v>
      </c>
      <c r="I48" s="1"/>
      <c r="J48" s="1"/>
      <c r="K48" s="1">
        <f t="shared" si="6"/>
        <v>4.0000000000000084E-2</v>
      </c>
    </row>
    <row r="49" spans="1:11" x14ac:dyDescent="0.2">
      <c r="A49" t="s">
        <v>271</v>
      </c>
      <c r="B49" s="17" t="s">
        <v>272</v>
      </c>
      <c r="C49" t="s">
        <v>221</v>
      </c>
      <c r="D49">
        <v>21</v>
      </c>
      <c r="E49">
        <v>30</v>
      </c>
      <c r="F49">
        <v>90</v>
      </c>
      <c r="G49">
        <v>15</v>
      </c>
      <c r="H49">
        <v>31.88</v>
      </c>
      <c r="I49" s="1"/>
      <c r="J49" s="1"/>
      <c r="K49" s="1">
        <f t="shared" si="6"/>
        <v>3.1333333333333317E-2</v>
      </c>
    </row>
    <row r="50" spans="1:11" x14ac:dyDescent="0.2">
      <c r="A50" t="s">
        <v>273</v>
      </c>
      <c r="B50" s="17" t="s">
        <v>274</v>
      </c>
      <c r="C50" t="s">
        <v>221</v>
      </c>
      <c r="D50">
        <v>21</v>
      </c>
      <c r="E50">
        <v>30</v>
      </c>
      <c r="F50">
        <v>45</v>
      </c>
      <c r="G50">
        <v>15</v>
      </c>
      <c r="H50">
        <v>36.15</v>
      </c>
      <c r="I50" s="1"/>
      <c r="J50" s="1"/>
      <c r="K50" s="1">
        <f t="shared" si="6"/>
        <v>0.40999999999999992</v>
      </c>
    </row>
    <row r="51" spans="1:11" x14ac:dyDescent="0.2">
      <c r="A51" t="s">
        <v>275</v>
      </c>
      <c r="B51" s="17" t="s">
        <v>276</v>
      </c>
      <c r="C51" t="s">
        <v>221</v>
      </c>
      <c r="D51">
        <v>21</v>
      </c>
      <c r="E51">
        <v>30</v>
      </c>
      <c r="F51">
        <v>45</v>
      </c>
      <c r="G51">
        <v>15</v>
      </c>
      <c r="H51">
        <v>29.45</v>
      </c>
      <c r="I51" s="1"/>
      <c r="J51" s="1">
        <f t="shared" ref="J51" si="7">(D51-H51)/(D51-E51)</f>
        <v>0.93888888888888877</v>
      </c>
      <c r="K51" s="1"/>
    </row>
    <row r="52" spans="1:11" x14ac:dyDescent="0.2">
      <c r="A52" t="s">
        <v>277</v>
      </c>
      <c r="B52" s="17" t="s">
        <v>278</v>
      </c>
      <c r="C52" t="s">
        <v>221</v>
      </c>
      <c r="D52">
        <v>12</v>
      </c>
      <c r="E52">
        <v>17</v>
      </c>
      <c r="F52">
        <v>20</v>
      </c>
      <c r="G52">
        <v>8.4</v>
      </c>
      <c r="I52" s="1"/>
    </row>
    <row r="53" spans="1:11" x14ac:dyDescent="0.2">
      <c r="A53" t="s">
        <v>279</v>
      </c>
      <c r="B53" s="17" t="s">
        <v>280</v>
      </c>
      <c r="C53" t="s">
        <v>281</v>
      </c>
      <c r="D53">
        <v>5.6</v>
      </c>
      <c r="E53">
        <v>8</v>
      </c>
      <c r="F53">
        <v>12.8</v>
      </c>
      <c r="G53">
        <v>3.47</v>
      </c>
      <c r="H53">
        <v>4.34</v>
      </c>
      <c r="I53" s="1">
        <f>(G53-H53)/(G53-D53)</f>
        <v>0.40845070422535207</v>
      </c>
    </row>
    <row r="54" spans="1:11" x14ac:dyDescent="0.2">
      <c r="A54" t="s">
        <v>282</v>
      </c>
      <c r="B54" s="17" t="s">
        <v>283</v>
      </c>
      <c r="C54" t="s">
        <v>221</v>
      </c>
      <c r="D54">
        <v>11</v>
      </c>
      <c r="E54">
        <v>13</v>
      </c>
      <c r="F54">
        <v>15</v>
      </c>
      <c r="G54">
        <v>8</v>
      </c>
      <c r="H54">
        <v>9.99</v>
      </c>
      <c r="I54" s="1">
        <f>(G54-H54)/(G54-D54)</f>
        <v>0.66333333333333344</v>
      </c>
    </row>
    <row r="55" spans="1:11" x14ac:dyDescent="0.2">
      <c r="A55" t="s">
        <v>284</v>
      </c>
      <c r="B55" s="17" t="s">
        <v>285</v>
      </c>
      <c r="C55" t="s">
        <v>221</v>
      </c>
      <c r="D55">
        <v>13</v>
      </c>
      <c r="E55">
        <v>18</v>
      </c>
      <c r="F55">
        <v>23</v>
      </c>
      <c r="G55">
        <v>10</v>
      </c>
    </row>
    <row r="56" spans="1:11" x14ac:dyDescent="0.2">
      <c r="A56" t="s">
        <v>286</v>
      </c>
      <c r="B56" s="17" t="s">
        <v>287</v>
      </c>
      <c r="C56" t="s">
        <v>221</v>
      </c>
      <c r="D56">
        <v>26</v>
      </c>
      <c r="E56">
        <v>38</v>
      </c>
      <c r="F56">
        <v>55</v>
      </c>
      <c r="G56">
        <v>17</v>
      </c>
    </row>
    <row r="57" spans="1:11" x14ac:dyDescent="0.2">
      <c r="A57" t="s">
        <v>288</v>
      </c>
      <c r="B57" s="17" t="s">
        <v>289</v>
      </c>
      <c r="C57" t="s">
        <v>221</v>
      </c>
      <c r="D57">
        <v>50</v>
      </c>
      <c r="E57">
        <v>80</v>
      </c>
      <c r="F57">
        <v>100</v>
      </c>
      <c r="G57">
        <v>55</v>
      </c>
    </row>
    <row r="58" spans="1:11" x14ac:dyDescent="0.2">
      <c r="A58" t="s">
        <v>290</v>
      </c>
      <c r="B58" s="17" t="s">
        <v>291</v>
      </c>
      <c r="C58" t="s">
        <v>221</v>
      </c>
      <c r="D58">
        <v>17</v>
      </c>
      <c r="E58">
        <v>20</v>
      </c>
      <c r="F58">
        <v>28</v>
      </c>
      <c r="G58">
        <v>12</v>
      </c>
    </row>
    <row r="59" spans="1:11" x14ac:dyDescent="0.2">
      <c r="B59" s="1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5F00-6F61-2846-A9B1-038887E13D80}">
  <dimension ref="A1:H29"/>
  <sheetViews>
    <sheetView zoomScale="133" zoomScaleNormal="110" workbookViewId="0">
      <selection activeCell="C9" sqref="C9"/>
    </sheetView>
  </sheetViews>
  <sheetFormatPr baseColWidth="10" defaultRowHeight="16" x14ac:dyDescent="0.2"/>
  <cols>
    <col min="1" max="1" width="14.83203125" bestFit="1" customWidth="1"/>
    <col min="2" max="2" width="26" bestFit="1" customWidth="1"/>
    <col min="3" max="3" width="44.33203125" bestFit="1" customWidth="1"/>
    <col min="4" max="4" width="17.1640625" customWidth="1"/>
    <col min="5" max="5" width="12.83203125" bestFit="1" customWidth="1"/>
  </cols>
  <sheetData>
    <row r="1" spans="1:8" x14ac:dyDescent="0.2">
      <c r="A1" s="13"/>
      <c r="B1" s="13"/>
      <c r="C1" s="13"/>
      <c r="D1" s="13"/>
      <c r="E1" s="13" t="s">
        <v>172</v>
      </c>
    </row>
    <row r="2" spans="1:8" x14ac:dyDescent="0.2">
      <c r="A2" s="13" t="s">
        <v>39</v>
      </c>
      <c r="B2" s="13" t="s">
        <v>296</v>
      </c>
      <c r="C2" s="13" t="s">
        <v>170</v>
      </c>
      <c r="D2" s="13" t="s">
        <v>162</v>
      </c>
      <c r="E2" s="13">
        <v>100</v>
      </c>
    </row>
    <row r="3" spans="1:8" x14ac:dyDescent="0.2">
      <c r="A3" s="13" t="s">
        <v>34</v>
      </c>
      <c r="B3" s="13" t="s">
        <v>299</v>
      </c>
      <c r="C3" s="13" t="s">
        <v>176</v>
      </c>
      <c r="D3" s="13"/>
      <c r="E3" s="14">
        <v>1.62</v>
      </c>
    </row>
    <row r="4" spans="1:8" x14ac:dyDescent="0.2">
      <c r="A4" s="13" t="s">
        <v>35</v>
      </c>
      <c r="B4" s="13" t="s">
        <v>161</v>
      </c>
      <c r="C4" s="13" t="s">
        <v>175</v>
      </c>
      <c r="D4" s="13" t="s">
        <v>301</v>
      </c>
      <c r="E4" s="14">
        <f>100/E3</f>
        <v>61.728395061728392</v>
      </c>
    </row>
    <row r="5" spans="1:8" x14ac:dyDescent="0.2">
      <c r="A5" s="13" t="s">
        <v>307</v>
      </c>
      <c r="B5" s="13" t="s">
        <v>298</v>
      </c>
      <c r="C5" s="13" t="s">
        <v>312</v>
      </c>
      <c r="D5" s="13"/>
      <c r="E5" s="14">
        <v>1.59</v>
      </c>
    </row>
    <row r="6" spans="1:8" ht="34" x14ac:dyDescent="0.2">
      <c r="A6" s="13" t="s">
        <v>37</v>
      </c>
      <c r="B6" s="13" t="s">
        <v>297</v>
      </c>
      <c r="C6" s="15" t="s">
        <v>171</v>
      </c>
      <c r="D6" s="15" t="s">
        <v>300</v>
      </c>
      <c r="E6" s="14">
        <f>E4*E5</f>
        <v>98.148148148148152</v>
      </c>
    </row>
    <row r="7" spans="1:8" ht="51" x14ac:dyDescent="0.2">
      <c r="A7" s="13" t="s">
        <v>168</v>
      </c>
      <c r="B7" s="13" t="s">
        <v>302</v>
      </c>
      <c r="C7" s="15" t="s">
        <v>313</v>
      </c>
      <c r="D7" s="13"/>
      <c r="E7" s="13">
        <v>107.544</v>
      </c>
      <c r="H7" t="s">
        <v>174</v>
      </c>
    </row>
    <row r="8" spans="1:8" ht="17" x14ac:dyDescent="0.2">
      <c r="A8" s="13" t="s">
        <v>169</v>
      </c>
      <c r="B8" s="13" t="s">
        <v>303</v>
      </c>
      <c r="C8" s="15" t="s">
        <v>310</v>
      </c>
      <c r="D8" s="15" t="s">
        <v>304</v>
      </c>
      <c r="E8" s="14">
        <f>E7-E6</f>
        <v>9.3958518518518446</v>
      </c>
    </row>
    <row r="9" spans="1:8" ht="51" x14ac:dyDescent="0.2">
      <c r="A9" s="13" t="s">
        <v>36</v>
      </c>
      <c r="B9" s="13" t="s">
        <v>305</v>
      </c>
      <c r="C9" s="15" t="s">
        <v>494</v>
      </c>
      <c r="D9" s="15" t="s">
        <v>306</v>
      </c>
      <c r="E9" s="16">
        <f>E8/E6</f>
        <v>9.5731320754716909E-2</v>
      </c>
    </row>
    <row r="10" spans="1:8" ht="34" x14ac:dyDescent="0.2">
      <c r="A10" s="13" t="s">
        <v>173</v>
      </c>
      <c r="B10" s="13" t="s">
        <v>309</v>
      </c>
      <c r="C10" s="15" t="s">
        <v>311</v>
      </c>
      <c r="D10" s="15" t="s">
        <v>308</v>
      </c>
      <c r="E10" s="14">
        <f>E7+E9*100</f>
        <v>117.11713207547169</v>
      </c>
    </row>
    <row r="12" spans="1:8" x14ac:dyDescent="0.2">
      <c r="A12" s="13" t="s">
        <v>315</v>
      </c>
    </row>
    <row r="13" spans="1:8" x14ac:dyDescent="0.2">
      <c r="A13" s="13" t="s">
        <v>319</v>
      </c>
      <c r="B13" s="13" t="s">
        <v>323</v>
      </c>
      <c r="D13">
        <v>120</v>
      </c>
    </row>
    <row r="14" spans="1:8" x14ac:dyDescent="0.2">
      <c r="A14" s="13" t="s">
        <v>314</v>
      </c>
      <c r="B14" s="13" t="s">
        <v>321</v>
      </c>
      <c r="D14">
        <v>2.16</v>
      </c>
    </row>
    <row r="15" spans="1:8" x14ac:dyDescent="0.2">
      <c r="A15" s="13" t="s">
        <v>318</v>
      </c>
      <c r="B15" s="13" t="s">
        <v>322</v>
      </c>
      <c r="D15" s="6">
        <v>0.95</v>
      </c>
    </row>
    <row r="16" spans="1:8" x14ac:dyDescent="0.2">
      <c r="A16" s="13" t="s">
        <v>316</v>
      </c>
      <c r="B16" s="13" t="s">
        <v>324</v>
      </c>
      <c r="D16">
        <v>164.2</v>
      </c>
    </row>
    <row r="17" spans="1:4" x14ac:dyDescent="0.2">
      <c r="A17" s="13" t="s">
        <v>317</v>
      </c>
      <c r="B17" s="13" t="s">
        <v>325</v>
      </c>
      <c r="D17">
        <v>105</v>
      </c>
    </row>
    <row r="18" spans="1:4" x14ac:dyDescent="0.2">
      <c r="A18" s="13" t="s">
        <v>320</v>
      </c>
      <c r="B18" s="13" t="s">
        <v>327</v>
      </c>
      <c r="C18" t="s">
        <v>329</v>
      </c>
      <c r="D18">
        <f>D16*D15+D17*(1-D15)-D13</f>
        <v>41.239999999999981</v>
      </c>
    </row>
    <row r="19" spans="1:4" x14ac:dyDescent="0.2">
      <c r="A19" s="13" t="s">
        <v>326</v>
      </c>
      <c r="B19" s="13" t="s">
        <v>328</v>
      </c>
      <c r="C19" t="s">
        <v>330</v>
      </c>
      <c r="D19" s="1">
        <f>D18/D13/D14</f>
        <v>0.15910493827160485</v>
      </c>
    </row>
    <row r="22" spans="1:4" x14ac:dyDescent="0.2">
      <c r="A22">
        <v>100</v>
      </c>
      <c r="B22">
        <f>ROUND(20000/A22, -1)</f>
        <v>200</v>
      </c>
    </row>
    <row r="23" spans="1:4" x14ac:dyDescent="0.2">
      <c r="A23">
        <v>110</v>
      </c>
      <c r="B23">
        <f>ROUND(20000/A23, -1)</f>
        <v>180</v>
      </c>
    </row>
    <row r="24" spans="1:4" x14ac:dyDescent="0.2">
      <c r="A24">
        <v>120</v>
      </c>
      <c r="B24">
        <f>ROUND(20000/A24, -1)</f>
        <v>170</v>
      </c>
    </row>
    <row r="25" spans="1:4" x14ac:dyDescent="0.2">
      <c r="A25">
        <v>130</v>
      </c>
      <c r="B25">
        <f t="shared" ref="B25:B29" si="0">ROUND(20000/A25, -1)</f>
        <v>150</v>
      </c>
    </row>
    <row r="26" spans="1:4" x14ac:dyDescent="0.2">
      <c r="A26">
        <v>140</v>
      </c>
      <c r="B26">
        <f t="shared" si="0"/>
        <v>140</v>
      </c>
    </row>
    <row r="27" spans="1:4" x14ac:dyDescent="0.2">
      <c r="A27">
        <v>150</v>
      </c>
      <c r="B27">
        <f t="shared" si="0"/>
        <v>130</v>
      </c>
    </row>
    <row r="28" spans="1:4" x14ac:dyDescent="0.2">
      <c r="A28">
        <v>160</v>
      </c>
      <c r="B28">
        <f t="shared" si="0"/>
        <v>130</v>
      </c>
    </row>
    <row r="29" spans="1:4" x14ac:dyDescent="0.2">
      <c r="A29">
        <v>170</v>
      </c>
      <c r="B29">
        <f t="shared" si="0"/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7B8B-DB21-EB49-B4A8-8BEBC5ED15A7}">
  <dimension ref="A2:M115"/>
  <sheetViews>
    <sheetView tabSelected="1" topLeftCell="A82" zoomScale="113" zoomScaleNormal="130" workbookViewId="0">
      <selection activeCell="E120" sqref="E120"/>
    </sheetView>
  </sheetViews>
  <sheetFormatPr baseColWidth="10" defaultRowHeight="16" x14ac:dyDescent="0.2"/>
  <cols>
    <col min="1" max="1" width="9.6640625" bestFit="1" customWidth="1"/>
    <col min="2" max="2" width="10.5" bestFit="1" customWidth="1"/>
    <col min="3" max="3" width="11.1640625" bestFit="1" customWidth="1"/>
    <col min="4" max="4" width="16.1640625" bestFit="1" customWidth="1"/>
    <col min="5" max="5" width="15.5" bestFit="1" customWidth="1"/>
    <col min="6" max="6" width="13.33203125" bestFit="1" customWidth="1"/>
    <col min="7" max="7" width="16.83203125" bestFit="1" customWidth="1"/>
    <col min="8" max="8" width="16.1640625" bestFit="1" customWidth="1"/>
    <col min="9" max="9" width="14.5" bestFit="1" customWidth="1"/>
    <col min="10" max="11" width="12.5" bestFit="1" customWidth="1"/>
    <col min="12" max="12" width="10.5" bestFit="1" customWidth="1"/>
  </cols>
  <sheetData>
    <row r="2" spans="1:8" x14ac:dyDescent="0.2">
      <c r="A2" t="s">
        <v>354</v>
      </c>
      <c r="B2" t="s">
        <v>353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  <c r="H2" t="s">
        <v>360</v>
      </c>
    </row>
    <row r="3" spans="1:8" x14ac:dyDescent="0.2">
      <c r="A3">
        <v>0</v>
      </c>
      <c r="B3">
        <v>11</v>
      </c>
      <c r="G3">
        <f>E4</f>
        <v>1000</v>
      </c>
      <c r="H3">
        <f>B3*G3</f>
        <v>11000</v>
      </c>
    </row>
    <row r="4" spans="1:8" x14ac:dyDescent="0.2">
      <c r="A4">
        <v>1</v>
      </c>
      <c r="B4">
        <v>10</v>
      </c>
      <c r="C4" s="6">
        <v>0.1</v>
      </c>
      <c r="D4">
        <v>10000</v>
      </c>
      <c r="E4">
        <f>INT(D4/B4/100)*100</f>
        <v>1000</v>
      </c>
      <c r="F4">
        <f>E4*B4</f>
        <v>10000</v>
      </c>
      <c r="G4">
        <f>E5</f>
        <v>1100</v>
      </c>
      <c r="H4">
        <f>B4*G4</f>
        <v>11000</v>
      </c>
    </row>
    <row r="5" spans="1:8" x14ac:dyDescent="0.2">
      <c r="A5">
        <v>2</v>
      </c>
      <c r="B5">
        <v>9</v>
      </c>
      <c r="C5" s="6">
        <v>0.1</v>
      </c>
      <c r="D5">
        <v>10000</v>
      </c>
      <c r="E5">
        <f>INT(D5/B5/100)*100</f>
        <v>1100</v>
      </c>
      <c r="F5">
        <f>E5*B5</f>
        <v>9900</v>
      </c>
      <c r="G5">
        <f>E6</f>
        <v>1200</v>
      </c>
      <c r="H5">
        <f>B5*G5</f>
        <v>10800</v>
      </c>
    </row>
    <row r="6" spans="1:8" x14ac:dyDescent="0.2">
      <c r="A6">
        <v>3</v>
      </c>
      <c r="B6">
        <v>8.1</v>
      </c>
      <c r="C6" s="6">
        <v>0.1</v>
      </c>
      <c r="D6">
        <v>10000</v>
      </c>
      <c r="E6">
        <f t="shared" ref="E6:E13" si="0">INT(D6/B6/100)*100</f>
        <v>1200</v>
      </c>
      <c r="F6">
        <f>E6*B6</f>
        <v>9720</v>
      </c>
      <c r="G6">
        <f>E7</f>
        <v>1300</v>
      </c>
      <c r="H6">
        <f>B6*G6</f>
        <v>10530</v>
      </c>
    </row>
    <row r="7" spans="1:8" x14ac:dyDescent="0.2">
      <c r="A7">
        <v>4</v>
      </c>
      <c r="B7">
        <v>7.29</v>
      </c>
      <c r="C7" s="6">
        <v>0.1</v>
      </c>
      <c r="D7">
        <v>10000</v>
      </c>
      <c r="E7">
        <f t="shared" si="0"/>
        <v>1300</v>
      </c>
      <c r="F7">
        <f>E7*B7</f>
        <v>9477</v>
      </c>
      <c r="G7">
        <f>E8</f>
        <v>1500</v>
      </c>
      <c r="H7">
        <f>B7*G7</f>
        <v>10935</v>
      </c>
    </row>
    <row r="8" spans="1:8" x14ac:dyDescent="0.2">
      <c r="A8">
        <v>5</v>
      </c>
      <c r="B8">
        <v>6.65</v>
      </c>
      <c r="C8" s="6">
        <v>0.1</v>
      </c>
      <c r="D8">
        <v>10000</v>
      </c>
      <c r="E8">
        <f t="shared" si="0"/>
        <v>1500</v>
      </c>
      <c r="F8">
        <f>E8*B8</f>
        <v>9975</v>
      </c>
      <c r="G8">
        <f>E9</f>
        <v>1600</v>
      </c>
      <c r="H8">
        <f>B8*G8</f>
        <v>10640</v>
      </c>
    </row>
    <row r="9" spans="1:8" x14ac:dyDescent="0.2">
      <c r="A9">
        <v>6</v>
      </c>
      <c r="B9">
        <v>5.9</v>
      </c>
      <c r="C9" s="6">
        <v>0.1</v>
      </c>
      <c r="D9">
        <v>10000</v>
      </c>
      <c r="E9">
        <f t="shared" si="0"/>
        <v>1600</v>
      </c>
      <c r="F9">
        <f>E9*B9</f>
        <v>9440</v>
      </c>
      <c r="G9">
        <f>E10</f>
        <v>1800</v>
      </c>
      <c r="H9">
        <f>B9*G9</f>
        <v>10620</v>
      </c>
    </row>
    <row r="10" spans="1:8" x14ac:dyDescent="0.2">
      <c r="A10">
        <v>7</v>
      </c>
      <c r="B10">
        <v>5.31</v>
      </c>
      <c r="C10" s="6">
        <v>0.1</v>
      </c>
      <c r="D10">
        <v>10000</v>
      </c>
      <c r="E10">
        <f t="shared" si="0"/>
        <v>1800</v>
      </c>
      <c r="F10">
        <f>E10*B10</f>
        <v>9558</v>
      </c>
      <c r="G10">
        <f>E11</f>
        <v>2000</v>
      </c>
      <c r="H10">
        <f>B10*G10</f>
        <v>10620</v>
      </c>
    </row>
    <row r="11" spans="1:8" x14ac:dyDescent="0.2">
      <c r="A11">
        <v>8</v>
      </c>
      <c r="B11">
        <v>4.78</v>
      </c>
      <c r="C11" s="6">
        <v>0.1</v>
      </c>
      <c r="D11">
        <v>10000</v>
      </c>
      <c r="E11">
        <f t="shared" si="0"/>
        <v>2000</v>
      </c>
      <c r="F11">
        <f>E11*B11</f>
        <v>9560</v>
      </c>
      <c r="G11">
        <f>E12</f>
        <v>2300</v>
      </c>
      <c r="H11">
        <f>B11*G11</f>
        <v>10994</v>
      </c>
    </row>
    <row r="12" spans="1:8" x14ac:dyDescent="0.2">
      <c r="A12">
        <v>9</v>
      </c>
      <c r="B12">
        <v>4.2</v>
      </c>
      <c r="C12" s="6">
        <v>0.1</v>
      </c>
      <c r="D12">
        <v>10000</v>
      </c>
      <c r="E12">
        <f t="shared" si="0"/>
        <v>2300</v>
      </c>
      <c r="F12">
        <f>E12*B12</f>
        <v>9660</v>
      </c>
      <c r="G12">
        <f>E13</f>
        <v>2500</v>
      </c>
      <c r="H12">
        <f>B12*G12</f>
        <v>10500</v>
      </c>
    </row>
    <row r="13" spans="1:8" x14ac:dyDescent="0.2">
      <c r="A13">
        <v>10</v>
      </c>
      <c r="B13">
        <v>3.87</v>
      </c>
      <c r="C13" s="6">
        <v>0.1</v>
      </c>
      <c r="D13">
        <v>10000</v>
      </c>
      <c r="E13">
        <f t="shared" si="0"/>
        <v>2500</v>
      </c>
      <c r="F13">
        <f>E13*B13</f>
        <v>9675</v>
      </c>
    </row>
    <row r="14" spans="1:8" x14ac:dyDescent="0.2">
      <c r="A14" t="s">
        <v>361</v>
      </c>
      <c r="F14">
        <f>SUM(F4:F13)</f>
        <v>96965</v>
      </c>
      <c r="H14">
        <f>SUM(H3:H12)</f>
        <v>107639</v>
      </c>
    </row>
    <row r="16" spans="1:8" x14ac:dyDescent="0.2">
      <c r="A16" t="s">
        <v>420</v>
      </c>
    </row>
    <row r="17" spans="1:12" x14ac:dyDescent="0.2">
      <c r="B17" s="23"/>
    </row>
    <row r="18" spans="1:12" x14ac:dyDescent="0.2">
      <c r="A18" t="s">
        <v>432</v>
      </c>
      <c r="B18" t="s">
        <v>422</v>
      </c>
      <c r="C18" t="s">
        <v>425</v>
      </c>
      <c r="D18" t="s">
        <v>423</v>
      </c>
      <c r="E18" t="s">
        <v>424</v>
      </c>
      <c r="F18" t="s">
        <v>426</v>
      </c>
      <c r="G18" t="s">
        <v>427</v>
      </c>
      <c r="H18" t="s">
        <v>428</v>
      </c>
      <c r="I18" t="s">
        <v>407</v>
      </c>
    </row>
    <row r="19" spans="1:12" x14ac:dyDescent="0.2">
      <c r="A19" t="s">
        <v>404</v>
      </c>
      <c r="B19">
        <v>1.1759999999999999</v>
      </c>
      <c r="C19" s="22">
        <v>1.79</v>
      </c>
      <c r="D19" s="22">
        <v>2</v>
      </c>
      <c r="E19" s="22">
        <v>1.5</v>
      </c>
      <c r="F19" s="22">
        <f>B19/C19</f>
        <v>0.65698324022346366</v>
      </c>
      <c r="G19" s="22">
        <f>D19*F19</f>
        <v>1.3139664804469273</v>
      </c>
      <c r="H19" s="22">
        <f>E19*F19</f>
        <v>0.98547486033519549</v>
      </c>
      <c r="I19" s="22">
        <f>(G19-H19)/10</f>
        <v>3.2849162011173182E-2</v>
      </c>
      <c r="J19" t="s">
        <v>431</v>
      </c>
    </row>
    <row r="20" spans="1:12" x14ac:dyDescent="0.2">
      <c r="A20" t="s">
        <v>230</v>
      </c>
      <c r="B20">
        <v>2.2919999999999998</v>
      </c>
      <c r="C20" s="22">
        <v>1.58</v>
      </c>
      <c r="D20" s="22">
        <v>1.78</v>
      </c>
      <c r="E20" s="22">
        <v>1.4</v>
      </c>
      <c r="F20" s="22">
        <f>B20/C20</f>
        <v>1.4506329113924048</v>
      </c>
      <c r="G20" s="22">
        <f>D20*F20</f>
        <v>2.5821265822784807</v>
      </c>
      <c r="H20" s="22">
        <f>E20*F20</f>
        <v>2.0308860759493665</v>
      </c>
      <c r="I20" s="22">
        <f>(G20-H20)/10</f>
        <v>5.5124050632911412E-2</v>
      </c>
      <c r="J20" t="s">
        <v>433</v>
      </c>
    </row>
    <row r="21" spans="1:12" x14ac:dyDescent="0.2">
      <c r="C21" s="22"/>
      <c r="D21" s="22"/>
      <c r="E21" s="22"/>
      <c r="F21" s="22"/>
      <c r="G21" s="22"/>
      <c r="H21" s="22"/>
      <c r="I21" s="22"/>
    </row>
    <row r="22" spans="1:12" x14ac:dyDescent="0.2">
      <c r="A22" t="s">
        <v>186</v>
      </c>
      <c r="B22">
        <v>1.51</v>
      </c>
      <c r="C22" s="22">
        <v>10.49</v>
      </c>
      <c r="D22" s="22">
        <v>9.5</v>
      </c>
      <c r="E22" s="22">
        <v>12.5</v>
      </c>
      <c r="F22" s="22"/>
      <c r="G22" s="22">
        <f>B22*C22/D22</f>
        <v>1.6673578947368421</v>
      </c>
      <c r="H22" s="22">
        <f>B22*C22/E22</f>
        <v>1.2671920000000001</v>
      </c>
      <c r="I22" s="22"/>
    </row>
    <row r="23" spans="1:12" x14ac:dyDescent="0.2">
      <c r="E23" s="22"/>
      <c r="F23" s="22"/>
      <c r="G23" s="22"/>
      <c r="H23" s="22"/>
    </row>
    <row r="24" spans="1:12" x14ac:dyDescent="0.2">
      <c r="A24" t="s">
        <v>376</v>
      </c>
      <c r="B24" t="s">
        <v>389</v>
      </c>
      <c r="C24" t="s">
        <v>390</v>
      </c>
      <c r="D24" t="s">
        <v>418</v>
      </c>
      <c r="E24" t="s">
        <v>377</v>
      </c>
      <c r="F24" t="s">
        <v>429</v>
      </c>
      <c r="G24" t="s">
        <v>380</v>
      </c>
      <c r="H24" t="s">
        <v>384</v>
      </c>
      <c r="I24" t="s">
        <v>387</v>
      </c>
      <c r="J24" t="s">
        <v>379</v>
      </c>
      <c r="K24" t="s">
        <v>383</v>
      </c>
      <c r="L24" t="s">
        <v>385</v>
      </c>
    </row>
    <row r="25" spans="1:12" x14ac:dyDescent="0.2">
      <c r="A25" t="s">
        <v>421</v>
      </c>
      <c r="B25" s="22">
        <f>H19</f>
        <v>0.98547486033519549</v>
      </c>
      <c r="C25" s="22">
        <f>G19</f>
        <v>1.3139664804469273</v>
      </c>
      <c r="D25" s="22">
        <f>C25</f>
        <v>1.3139664804469273</v>
      </c>
      <c r="E25" s="21" t="s">
        <v>378</v>
      </c>
      <c r="F25" s="18">
        <v>1000</v>
      </c>
      <c r="G25" s="22">
        <f>-I19</f>
        <v>-3.2849162011173182E-2</v>
      </c>
      <c r="H25" s="22">
        <f>-G25/10</f>
        <v>3.2849162011173182E-3</v>
      </c>
      <c r="I25" s="21" t="s">
        <v>388</v>
      </c>
      <c r="J25" s="22">
        <f>I19</f>
        <v>3.2849162011173182E-2</v>
      </c>
      <c r="K25" s="22">
        <f>-J25/10</f>
        <v>-3.2849162011173182E-3</v>
      </c>
      <c r="L25" t="s">
        <v>386</v>
      </c>
    </row>
    <row r="26" spans="1:12" x14ac:dyDescent="0.2">
      <c r="A26" t="s">
        <v>430</v>
      </c>
      <c r="B26" s="22">
        <f>H20</f>
        <v>2.0308860759493665</v>
      </c>
      <c r="C26" s="22">
        <f>G20</f>
        <v>2.5821265822784807</v>
      </c>
      <c r="D26" s="22">
        <f>C26</f>
        <v>2.5821265822784807</v>
      </c>
      <c r="E26" s="21" t="s">
        <v>378</v>
      </c>
      <c r="F26" s="18">
        <v>1000</v>
      </c>
      <c r="G26" s="22">
        <f>-I20</f>
        <v>-5.5124050632911412E-2</v>
      </c>
      <c r="H26" s="22">
        <f>-G26/10</f>
        <v>5.5124050632911412E-3</v>
      </c>
      <c r="I26" s="21" t="s">
        <v>388</v>
      </c>
      <c r="J26" s="22">
        <f>I20</f>
        <v>5.5124050632911412E-2</v>
      </c>
      <c r="K26" s="22">
        <f>-J26/10</f>
        <v>-5.5124050632911412E-3</v>
      </c>
      <c r="L26" t="s">
        <v>386</v>
      </c>
    </row>
    <row r="27" spans="1:12" x14ac:dyDescent="0.2">
      <c r="B27" s="22"/>
      <c r="C27" s="22"/>
      <c r="D27" s="22"/>
      <c r="E27" s="21"/>
      <c r="F27" s="18"/>
      <c r="G27" s="3"/>
      <c r="H27" s="22"/>
      <c r="I27" s="21"/>
      <c r="J27" s="22"/>
      <c r="K27" s="22"/>
    </row>
    <row r="28" spans="1:12" x14ac:dyDescent="0.2">
      <c r="A28" t="s">
        <v>411</v>
      </c>
      <c r="B28" t="s">
        <v>410</v>
      </c>
      <c r="C28" t="s">
        <v>405</v>
      </c>
      <c r="D28" t="s">
        <v>406</v>
      </c>
      <c r="E28" t="s">
        <v>407</v>
      </c>
    </row>
    <row r="29" spans="1:12" x14ac:dyDescent="0.2">
      <c r="A29" t="s">
        <v>404</v>
      </c>
      <c r="B29">
        <v>512880</v>
      </c>
      <c r="C29">
        <v>1.3240000000000001</v>
      </c>
      <c r="D29">
        <v>1.02</v>
      </c>
      <c r="E29">
        <v>0.03</v>
      </c>
    </row>
    <row r="30" spans="1:12" x14ac:dyDescent="0.2">
      <c r="A30" t="s">
        <v>408</v>
      </c>
      <c r="B30">
        <v>512910</v>
      </c>
      <c r="C30">
        <v>1.6720699999999999</v>
      </c>
      <c r="D30">
        <v>1.27864</v>
      </c>
      <c r="E30">
        <v>3.934E-2</v>
      </c>
    </row>
    <row r="31" spans="1:12" x14ac:dyDescent="0.2">
      <c r="A31" t="s">
        <v>409</v>
      </c>
      <c r="B31">
        <v>159905</v>
      </c>
      <c r="C31">
        <v>2.8639999999999999</v>
      </c>
      <c r="D31">
        <v>2.129</v>
      </c>
      <c r="E31">
        <v>7.2999999999999995E-2</v>
      </c>
    </row>
    <row r="32" spans="1:12" x14ac:dyDescent="0.2">
      <c r="A32" t="s">
        <v>230</v>
      </c>
      <c r="B32">
        <v>510310</v>
      </c>
      <c r="C32">
        <v>2.6549999999999998</v>
      </c>
      <c r="D32">
        <v>2.0550000000000002</v>
      </c>
      <c r="E32">
        <v>0.06</v>
      </c>
    </row>
    <row r="34" spans="1:12" x14ac:dyDescent="0.2">
      <c r="A34" t="s">
        <v>417</v>
      </c>
    </row>
    <row r="35" spans="1:12" x14ac:dyDescent="0.2">
      <c r="A35" t="s">
        <v>404</v>
      </c>
      <c r="B35" t="s">
        <v>389</v>
      </c>
      <c r="C35" t="s">
        <v>390</v>
      </c>
      <c r="D35" t="s">
        <v>418</v>
      </c>
      <c r="E35" t="s">
        <v>377</v>
      </c>
      <c r="F35" s="20" t="s">
        <v>419</v>
      </c>
      <c r="G35" t="s">
        <v>380</v>
      </c>
      <c r="H35" t="s">
        <v>384</v>
      </c>
      <c r="I35" t="s">
        <v>387</v>
      </c>
      <c r="J35" t="s">
        <v>379</v>
      </c>
      <c r="K35" t="s">
        <v>383</v>
      </c>
      <c r="L35" t="s">
        <v>385</v>
      </c>
    </row>
    <row r="36" spans="1:12" x14ac:dyDescent="0.2">
      <c r="A36">
        <v>512880</v>
      </c>
      <c r="B36">
        <v>1.02</v>
      </c>
      <c r="C36">
        <v>1.32</v>
      </c>
      <c r="D36">
        <v>1.32</v>
      </c>
      <c r="E36" t="s">
        <v>378</v>
      </c>
      <c r="F36">
        <v>5000</v>
      </c>
      <c r="G36">
        <v>-0.03</v>
      </c>
      <c r="H36">
        <v>1E-3</v>
      </c>
      <c r="I36" t="s">
        <v>388</v>
      </c>
      <c r="J36">
        <v>0.03</v>
      </c>
      <c r="K36">
        <v>-1E-3</v>
      </c>
      <c r="L36" t="s">
        <v>386</v>
      </c>
    </row>
    <row r="38" spans="1:12" x14ac:dyDescent="0.2">
      <c r="A38" t="s">
        <v>415</v>
      </c>
    </row>
    <row r="39" spans="1:12" x14ac:dyDescent="0.2">
      <c r="A39" t="s">
        <v>412</v>
      </c>
      <c r="B39" t="s">
        <v>413</v>
      </c>
      <c r="C39" s="20" t="s">
        <v>416</v>
      </c>
      <c r="D39" t="s">
        <v>414</v>
      </c>
    </row>
    <row r="40" spans="1:12" x14ac:dyDescent="0.2">
      <c r="A40">
        <v>1.3240000000000001</v>
      </c>
      <c r="B40" s="5">
        <v>-0.01</v>
      </c>
      <c r="C40" t="s">
        <v>61</v>
      </c>
    </row>
    <row r="41" spans="1:12" x14ac:dyDescent="0.2">
      <c r="B41" s="5"/>
    </row>
    <row r="42" spans="1:12" x14ac:dyDescent="0.2">
      <c r="A42" t="s">
        <v>372</v>
      </c>
    </row>
    <row r="43" spans="1:12" x14ac:dyDescent="0.2">
      <c r="A43" s="25" t="s">
        <v>403</v>
      </c>
      <c r="B43" s="25" t="s">
        <v>391</v>
      </c>
      <c r="C43" s="25"/>
      <c r="D43" s="25"/>
      <c r="E43" s="25"/>
      <c r="F43" s="25" t="s">
        <v>400</v>
      </c>
      <c r="G43" s="25"/>
      <c r="H43" s="25"/>
      <c r="I43" s="25"/>
    </row>
    <row r="44" spans="1:12" x14ac:dyDescent="0.2">
      <c r="A44" s="25" t="s">
        <v>392</v>
      </c>
      <c r="B44" s="25" t="s">
        <v>396</v>
      </c>
      <c r="C44" s="25" t="s">
        <v>397</v>
      </c>
      <c r="D44" s="25" t="s">
        <v>398</v>
      </c>
      <c r="E44" s="25" t="s">
        <v>393</v>
      </c>
      <c r="F44" s="25" t="s">
        <v>395</v>
      </c>
      <c r="G44" s="25" t="s">
        <v>399</v>
      </c>
      <c r="H44" s="25" t="s">
        <v>394</v>
      </c>
      <c r="I44" s="25" t="s">
        <v>401</v>
      </c>
    </row>
    <row r="46" spans="1:12" x14ac:dyDescent="0.2">
      <c r="A46" t="s">
        <v>354</v>
      </c>
      <c r="B46" t="s">
        <v>373</v>
      </c>
      <c r="C46" t="s">
        <v>414</v>
      </c>
      <c r="D46" s="25" t="s">
        <v>443</v>
      </c>
      <c r="E46" s="25" t="s">
        <v>374</v>
      </c>
      <c r="F46" s="25" t="s">
        <v>444</v>
      </c>
      <c r="G46" t="s">
        <v>381</v>
      </c>
      <c r="H46" t="s">
        <v>382</v>
      </c>
    </row>
    <row r="47" spans="1:12" x14ac:dyDescent="0.2">
      <c r="A47">
        <v>0</v>
      </c>
      <c r="B47">
        <v>40</v>
      </c>
    </row>
    <row r="48" spans="1:12" x14ac:dyDescent="0.2">
      <c r="A48">
        <v>1</v>
      </c>
      <c r="B48">
        <v>35</v>
      </c>
      <c r="C48">
        <v>50</v>
      </c>
      <c r="D48">
        <f>C48*A48</f>
        <v>50</v>
      </c>
      <c r="E48">
        <f>B48*C48</f>
        <v>1750</v>
      </c>
      <c r="F48">
        <f>SUM($E48:E$48)</f>
        <v>1750</v>
      </c>
      <c r="G48">
        <f>B48*D48-F48</f>
        <v>0</v>
      </c>
      <c r="H48" s="1">
        <f>G48/F48</f>
        <v>0</v>
      </c>
    </row>
    <row r="49" spans="1:12" x14ac:dyDescent="0.2">
      <c r="A49">
        <v>2</v>
      </c>
      <c r="B49">
        <v>30</v>
      </c>
      <c r="C49">
        <v>50</v>
      </c>
      <c r="D49">
        <f t="shared" ref="D49:D51" si="1">C49*A49</f>
        <v>100</v>
      </c>
      <c r="E49">
        <f t="shared" ref="E49:E51" si="2">B49*C49</f>
        <v>1500</v>
      </c>
      <c r="F49">
        <f>SUM($E$48:E49)</f>
        <v>3250</v>
      </c>
      <c r="G49">
        <f>B49*D49-F49</f>
        <v>-250</v>
      </c>
      <c r="H49" s="1">
        <f t="shared" ref="H49:H51" si="3">G49/F49</f>
        <v>-7.6923076923076927E-2</v>
      </c>
    </row>
    <row r="50" spans="1:12" x14ac:dyDescent="0.2">
      <c r="A50">
        <v>3</v>
      </c>
      <c r="B50">
        <v>25</v>
      </c>
      <c r="C50">
        <v>50</v>
      </c>
      <c r="D50">
        <f t="shared" si="1"/>
        <v>150</v>
      </c>
      <c r="E50">
        <f t="shared" si="2"/>
        <v>1250</v>
      </c>
      <c r="F50">
        <f>SUM($E$48:E50)</f>
        <v>4500</v>
      </c>
      <c r="G50">
        <f>B50*D50-F50</f>
        <v>-750</v>
      </c>
      <c r="H50" s="1">
        <f t="shared" si="3"/>
        <v>-0.16666666666666666</v>
      </c>
    </row>
    <row r="51" spans="1:12" x14ac:dyDescent="0.2">
      <c r="A51">
        <v>4</v>
      </c>
      <c r="B51">
        <v>20</v>
      </c>
      <c r="C51">
        <v>50</v>
      </c>
      <c r="D51">
        <f t="shared" si="1"/>
        <v>200</v>
      </c>
      <c r="E51">
        <f t="shared" si="2"/>
        <v>1000</v>
      </c>
      <c r="F51">
        <f>SUM($E$48:E51)</f>
        <v>5500</v>
      </c>
      <c r="G51">
        <f>B51*D51-F51</f>
        <v>-1500</v>
      </c>
      <c r="H51" s="1">
        <f t="shared" si="3"/>
        <v>-0.27272727272727271</v>
      </c>
    </row>
    <row r="53" spans="1:12" x14ac:dyDescent="0.2">
      <c r="A53" t="s">
        <v>376</v>
      </c>
      <c r="B53" t="s">
        <v>389</v>
      </c>
      <c r="C53" t="s">
        <v>390</v>
      </c>
      <c r="D53" t="s">
        <v>418</v>
      </c>
      <c r="E53" t="s">
        <v>377</v>
      </c>
      <c r="F53" t="s">
        <v>429</v>
      </c>
      <c r="G53" t="s">
        <v>380</v>
      </c>
      <c r="H53" t="s">
        <v>384</v>
      </c>
      <c r="I53" t="s">
        <v>387</v>
      </c>
      <c r="J53" t="s">
        <v>379</v>
      </c>
      <c r="K53" t="s">
        <v>383</v>
      </c>
      <c r="L53" t="s">
        <v>385</v>
      </c>
    </row>
    <row r="54" spans="1:12" x14ac:dyDescent="0.2">
      <c r="B54">
        <v>90</v>
      </c>
      <c r="C54">
        <v>130</v>
      </c>
      <c r="D54" t="s">
        <v>402</v>
      </c>
      <c r="E54" t="s">
        <v>378</v>
      </c>
      <c r="F54">
        <v>10</v>
      </c>
      <c r="G54">
        <v>-10</v>
      </c>
      <c r="H54">
        <f>-G54/10</f>
        <v>1</v>
      </c>
      <c r="I54" t="s">
        <v>388</v>
      </c>
      <c r="J54">
        <v>10</v>
      </c>
      <c r="K54">
        <f>-J54/10</f>
        <v>-1</v>
      </c>
      <c r="L54" t="s">
        <v>386</v>
      </c>
    </row>
    <row r="55" spans="1:12" x14ac:dyDescent="0.2">
      <c r="B55" s="5"/>
    </row>
    <row r="56" spans="1:12" x14ac:dyDescent="0.2">
      <c r="A56" t="s">
        <v>503</v>
      </c>
      <c r="B56" t="s">
        <v>493</v>
      </c>
      <c r="C56" t="s">
        <v>504</v>
      </c>
      <c r="D56" t="s">
        <v>500</v>
      </c>
      <c r="E56" t="s">
        <v>505</v>
      </c>
      <c r="F56" t="s">
        <v>499</v>
      </c>
      <c r="G56" t="s">
        <v>501</v>
      </c>
      <c r="H56" t="s">
        <v>502</v>
      </c>
    </row>
    <row r="57" spans="1:12" x14ac:dyDescent="0.2">
      <c r="A57" t="s">
        <v>354</v>
      </c>
      <c r="B57" t="s">
        <v>373</v>
      </c>
      <c r="C57" t="s">
        <v>414</v>
      </c>
      <c r="D57" s="25" t="s">
        <v>443</v>
      </c>
      <c r="E57" s="25" t="s">
        <v>374</v>
      </c>
      <c r="F57" s="25" t="s">
        <v>444</v>
      </c>
      <c r="G57" s="25" t="s">
        <v>381</v>
      </c>
      <c r="H57" s="25" t="s">
        <v>382</v>
      </c>
      <c r="J57" t="s">
        <v>445</v>
      </c>
      <c r="K57" t="s">
        <v>414</v>
      </c>
      <c r="L57" t="s">
        <v>495</v>
      </c>
    </row>
    <row r="58" spans="1:12" x14ac:dyDescent="0.2">
      <c r="A58">
        <v>0</v>
      </c>
      <c r="B58">
        <v>165</v>
      </c>
      <c r="J58" t="s">
        <v>446</v>
      </c>
      <c r="K58" t="s">
        <v>496</v>
      </c>
      <c r="L58" t="s">
        <v>497</v>
      </c>
    </row>
    <row r="59" spans="1:12" x14ac:dyDescent="0.2">
      <c r="A59">
        <v>1</v>
      </c>
      <c r="B59">
        <v>155</v>
      </c>
      <c r="C59">
        <v>80</v>
      </c>
      <c r="D59">
        <f>C59*A59</f>
        <v>80</v>
      </c>
      <c r="E59">
        <f>B59*C59</f>
        <v>12400</v>
      </c>
      <c r="F59">
        <f>SUM($E59:E$59)</f>
        <v>12400</v>
      </c>
      <c r="G59">
        <f>B59*D59-F59</f>
        <v>0</v>
      </c>
      <c r="H59" s="1">
        <f>G59/F59</f>
        <v>0</v>
      </c>
      <c r="J59" t="s">
        <v>447</v>
      </c>
      <c r="K59" t="s">
        <v>448</v>
      </c>
      <c r="L59">
        <v>40</v>
      </c>
    </row>
    <row r="60" spans="1:12" x14ac:dyDescent="0.2">
      <c r="A60">
        <v>2</v>
      </c>
      <c r="B60">
        <v>145</v>
      </c>
      <c r="C60">
        <v>80</v>
      </c>
      <c r="D60">
        <f t="shared" ref="D60:D62" si="4">C60*A60</f>
        <v>160</v>
      </c>
      <c r="E60">
        <f t="shared" ref="E60:E62" si="5">B60*C60</f>
        <v>11600</v>
      </c>
      <c r="F60">
        <f>SUM($E$59:E60)</f>
        <v>24000</v>
      </c>
      <c r="G60">
        <f>B60*D60-F60</f>
        <v>-800</v>
      </c>
      <c r="H60" s="1">
        <f t="shared" ref="H60:H62" si="6">G60/F60</f>
        <v>-3.3333333333333333E-2</v>
      </c>
    </row>
    <row r="61" spans="1:12" x14ac:dyDescent="0.2">
      <c r="A61">
        <v>3</v>
      </c>
      <c r="B61">
        <v>135</v>
      </c>
      <c r="C61">
        <v>80</v>
      </c>
      <c r="D61">
        <f t="shared" si="4"/>
        <v>240</v>
      </c>
      <c r="E61">
        <f t="shared" si="5"/>
        <v>10800</v>
      </c>
      <c r="F61">
        <f>SUM($E$59:E61)</f>
        <v>34800</v>
      </c>
      <c r="G61">
        <f>B61*D61-F61</f>
        <v>-2400</v>
      </c>
      <c r="H61" s="1">
        <f t="shared" si="6"/>
        <v>-6.8965517241379309E-2</v>
      </c>
    </row>
    <row r="62" spans="1:12" x14ac:dyDescent="0.2">
      <c r="A62">
        <v>4</v>
      </c>
      <c r="B62">
        <v>125</v>
      </c>
      <c r="C62">
        <v>80</v>
      </c>
      <c r="D62">
        <f t="shared" si="4"/>
        <v>320</v>
      </c>
      <c r="E62">
        <f t="shared" si="5"/>
        <v>10000</v>
      </c>
      <c r="F62">
        <f>SUM($E$59:E62)</f>
        <v>44800</v>
      </c>
      <c r="G62">
        <f>B62*D62-F62</f>
        <v>-4800</v>
      </c>
      <c r="H62" s="1">
        <f t="shared" si="6"/>
        <v>-0.10714285714285714</v>
      </c>
    </row>
    <row r="63" spans="1:12" x14ac:dyDescent="0.2">
      <c r="H63" s="1"/>
    </row>
    <row r="64" spans="1:12" x14ac:dyDescent="0.2">
      <c r="A64" t="s">
        <v>503</v>
      </c>
      <c r="B64" t="s">
        <v>493</v>
      </c>
      <c r="C64" t="s">
        <v>504</v>
      </c>
      <c r="D64" t="s">
        <v>500</v>
      </c>
      <c r="E64" t="s">
        <v>505</v>
      </c>
      <c r="F64" t="s">
        <v>499</v>
      </c>
      <c r="G64" t="s">
        <v>501</v>
      </c>
      <c r="H64" t="s">
        <v>502</v>
      </c>
    </row>
    <row r="65" spans="1:12" x14ac:dyDescent="0.2">
      <c r="A65" t="s">
        <v>354</v>
      </c>
      <c r="B65" t="s">
        <v>373</v>
      </c>
      <c r="C65" t="s">
        <v>414</v>
      </c>
      <c r="D65" s="25" t="s">
        <v>443</v>
      </c>
      <c r="E65" s="25" t="s">
        <v>374</v>
      </c>
      <c r="F65" s="25" t="s">
        <v>444</v>
      </c>
      <c r="G65" s="25" t="s">
        <v>381</v>
      </c>
      <c r="H65" s="25" t="s">
        <v>382</v>
      </c>
      <c r="J65" t="s">
        <v>445</v>
      </c>
      <c r="K65" t="s">
        <v>414</v>
      </c>
      <c r="L65" t="s">
        <v>495</v>
      </c>
    </row>
    <row r="66" spans="1:12" x14ac:dyDescent="0.2">
      <c r="A66">
        <v>0</v>
      </c>
      <c r="B66">
        <v>170</v>
      </c>
      <c r="J66" t="s">
        <v>446</v>
      </c>
      <c r="K66" t="s">
        <v>496</v>
      </c>
      <c r="L66" t="s">
        <v>497</v>
      </c>
    </row>
    <row r="67" spans="1:12" x14ac:dyDescent="0.2">
      <c r="A67">
        <v>1</v>
      </c>
      <c r="B67">
        <v>160</v>
      </c>
      <c r="C67">
        <v>50</v>
      </c>
      <c r="D67">
        <f>C67*A67</f>
        <v>50</v>
      </c>
      <c r="E67">
        <f>B67*C67</f>
        <v>8000</v>
      </c>
      <c r="F67">
        <f>SUM($E$67:E67)</f>
        <v>8000</v>
      </c>
      <c r="G67">
        <f>B67*D67-F67</f>
        <v>0</v>
      </c>
      <c r="H67" s="1">
        <f>G67/F67</f>
        <v>0</v>
      </c>
      <c r="J67" t="s">
        <v>447</v>
      </c>
      <c r="K67" t="s">
        <v>448</v>
      </c>
      <c r="L67">
        <v>40</v>
      </c>
    </row>
    <row r="68" spans="1:12" x14ac:dyDescent="0.2">
      <c r="A68">
        <v>2</v>
      </c>
      <c r="B68">
        <v>150</v>
      </c>
      <c r="C68">
        <v>50</v>
      </c>
      <c r="D68">
        <f t="shared" ref="D68:D70" si="7">C68*A68</f>
        <v>100</v>
      </c>
      <c r="E68">
        <f t="shared" ref="E68:E70" si="8">B68*C68</f>
        <v>7500</v>
      </c>
      <c r="F68">
        <f>SUM($E$67:E68)</f>
        <v>15500</v>
      </c>
      <c r="G68">
        <f>B68*D68-F68</f>
        <v>-500</v>
      </c>
      <c r="H68" s="1">
        <f t="shared" ref="H68:H70" si="9">G68/F68</f>
        <v>-3.2258064516129031E-2</v>
      </c>
    </row>
    <row r="69" spans="1:12" x14ac:dyDescent="0.2">
      <c r="A69">
        <v>3</v>
      </c>
      <c r="B69">
        <v>140</v>
      </c>
      <c r="C69">
        <v>50</v>
      </c>
      <c r="D69">
        <f t="shared" si="7"/>
        <v>150</v>
      </c>
      <c r="E69">
        <f t="shared" si="8"/>
        <v>7000</v>
      </c>
      <c r="F69">
        <f>SUM($E$67:E69)</f>
        <v>22500</v>
      </c>
      <c r="G69">
        <f>B69*D69-F69</f>
        <v>-1500</v>
      </c>
      <c r="H69" s="1">
        <f t="shared" si="9"/>
        <v>-6.6666666666666666E-2</v>
      </c>
    </row>
    <row r="70" spans="1:12" x14ac:dyDescent="0.2">
      <c r="A70">
        <v>4</v>
      </c>
      <c r="B70">
        <v>130</v>
      </c>
      <c r="C70">
        <v>50</v>
      </c>
      <c r="D70">
        <f t="shared" si="7"/>
        <v>200</v>
      </c>
      <c r="E70">
        <f t="shared" si="8"/>
        <v>6500</v>
      </c>
      <c r="F70">
        <f>SUM($E$67:E70)</f>
        <v>29000</v>
      </c>
      <c r="G70">
        <f>B70*D70-F70</f>
        <v>-3000</v>
      </c>
      <c r="H70" s="1">
        <f t="shared" si="9"/>
        <v>-0.10344827586206896</v>
      </c>
    </row>
    <row r="71" spans="1:12" x14ac:dyDescent="0.2">
      <c r="H71" s="1"/>
    </row>
    <row r="72" spans="1:12" x14ac:dyDescent="0.2">
      <c r="A72" t="s">
        <v>436</v>
      </c>
      <c r="B72">
        <v>123012</v>
      </c>
    </row>
    <row r="73" spans="1:12" x14ac:dyDescent="0.2">
      <c r="A73" t="s">
        <v>354</v>
      </c>
      <c r="B73" t="s">
        <v>373</v>
      </c>
      <c r="C73" t="s">
        <v>414</v>
      </c>
      <c r="D73" s="25" t="s">
        <v>443</v>
      </c>
      <c r="E73" s="25" t="s">
        <v>374</v>
      </c>
      <c r="F73" s="25" t="s">
        <v>444</v>
      </c>
      <c r="G73" s="25" t="s">
        <v>381</v>
      </c>
      <c r="H73" s="25" t="s">
        <v>382</v>
      </c>
      <c r="J73" t="s">
        <v>445</v>
      </c>
      <c r="K73" t="s">
        <v>414</v>
      </c>
      <c r="L73" t="s">
        <v>449</v>
      </c>
    </row>
    <row r="74" spans="1:12" x14ac:dyDescent="0.2">
      <c r="A74">
        <v>0</v>
      </c>
      <c r="B74">
        <v>200</v>
      </c>
      <c r="J74" t="s">
        <v>446</v>
      </c>
      <c r="K74" t="s">
        <v>451</v>
      </c>
      <c r="L74" t="s">
        <v>450</v>
      </c>
    </row>
    <row r="75" spans="1:12" x14ac:dyDescent="0.2">
      <c r="A75">
        <v>1</v>
      </c>
      <c r="B75">
        <v>190</v>
      </c>
      <c r="C75">
        <v>30</v>
      </c>
      <c r="D75">
        <f>C75*A75</f>
        <v>30</v>
      </c>
      <c r="E75">
        <f>B75*C75</f>
        <v>5700</v>
      </c>
      <c r="F75">
        <f>SUM($E$75:E75)</f>
        <v>5700</v>
      </c>
      <c r="G75">
        <f>B75*D75-F75</f>
        <v>0</v>
      </c>
      <c r="H75" s="1">
        <f>G75/F75</f>
        <v>0</v>
      </c>
      <c r="J75" t="s">
        <v>447</v>
      </c>
      <c r="K75" t="s">
        <v>448</v>
      </c>
      <c r="L75">
        <v>30</v>
      </c>
    </row>
    <row r="76" spans="1:12" x14ac:dyDescent="0.2">
      <c r="A76">
        <v>2</v>
      </c>
      <c r="B76">
        <v>180</v>
      </c>
      <c r="C76">
        <v>30</v>
      </c>
      <c r="D76">
        <f t="shared" ref="D76:D78" si="10">C76*A76</f>
        <v>60</v>
      </c>
      <c r="E76">
        <f t="shared" ref="E76:E78" si="11">B76*C76</f>
        <v>5400</v>
      </c>
      <c r="F76">
        <f>SUM($E$75:E76)</f>
        <v>11100</v>
      </c>
      <c r="G76">
        <f>B76*D76-F76</f>
        <v>-300</v>
      </c>
      <c r="H76" s="1">
        <f t="shared" ref="H76:H78" si="12">G76/F76</f>
        <v>-2.7027027027027029E-2</v>
      </c>
    </row>
    <row r="77" spans="1:12" x14ac:dyDescent="0.2">
      <c r="A77">
        <v>3</v>
      </c>
      <c r="B77">
        <v>170</v>
      </c>
      <c r="C77">
        <v>30</v>
      </c>
      <c r="D77">
        <f t="shared" si="10"/>
        <v>90</v>
      </c>
      <c r="E77">
        <f t="shared" si="11"/>
        <v>5100</v>
      </c>
      <c r="F77">
        <f>SUM($E$75:E77)</f>
        <v>16200</v>
      </c>
      <c r="G77">
        <f>B77*D77-F77</f>
        <v>-900</v>
      </c>
      <c r="H77" s="1">
        <f t="shared" si="12"/>
        <v>-5.5555555555555552E-2</v>
      </c>
    </row>
    <row r="78" spans="1:12" x14ac:dyDescent="0.2">
      <c r="A78">
        <v>4</v>
      </c>
      <c r="B78">
        <v>160</v>
      </c>
      <c r="C78">
        <v>30</v>
      </c>
      <c r="D78">
        <f t="shared" si="10"/>
        <v>120</v>
      </c>
      <c r="E78">
        <f t="shared" si="11"/>
        <v>4800</v>
      </c>
      <c r="F78">
        <f>SUM($E$75:E78)</f>
        <v>21000</v>
      </c>
      <c r="G78">
        <f>B78*D78-F78</f>
        <v>-1800</v>
      </c>
      <c r="H78" s="1">
        <f t="shared" si="12"/>
        <v>-8.5714285714285715E-2</v>
      </c>
    </row>
    <row r="79" spans="1:12" x14ac:dyDescent="0.2">
      <c r="H79" s="1"/>
    </row>
    <row r="80" spans="1:12" x14ac:dyDescent="0.2">
      <c r="H80" s="1"/>
    </row>
    <row r="81" spans="1:13" x14ac:dyDescent="0.2">
      <c r="A81" t="s">
        <v>506</v>
      </c>
      <c r="B81" t="s">
        <v>498</v>
      </c>
    </row>
    <row r="82" spans="1:13" x14ac:dyDescent="0.2">
      <c r="A82" t="s">
        <v>354</v>
      </c>
      <c r="B82" t="s">
        <v>373</v>
      </c>
      <c r="C82" t="s">
        <v>414</v>
      </c>
      <c r="D82" s="25" t="s">
        <v>443</v>
      </c>
      <c r="E82" s="25" t="s">
        <v>374</v>
      </c>
      <c r="F82" s="25" t="s">
        <v>444</v>
      </c>
      <c r="G82" s="25" t="s">
        <v>381</v>
      </c>
      <c r="H82" s="25" t="s">
        <v>382</v>
      </c>
      <c r="J82" t="s">
        <v>445</v>
      </c>
      <c r="K82" t="s">
        <v>414</v>
      </c>
      <c r="L82" t="s">
        <v>495</v>
      </c>
    </row>
    <row r="83" spans="1:13" x14ac:dyDescent="0.2">
      <c r="A83">
        <v>0</v>
      </c>
      <c r="B83">
        <v>175</v>
      </c>
      <c r="J83" t="s">
        <v>446</v>
      </c>
      <c r="K83" t="s">
        <v>496</v>
      </c>
      <c r="L83" t="s">
        <v>497</v>
      </c>
      <c r="M83" t="s">
        <v>375</v>
      </c>
    </row>
    <row r="84" spans="1:13" x14ac:dyDescent="0.2">
      <c r="A84">
        <v>1</v>
      </c>
      <c r="B84">
        <v>165</v>
      </c>
      <c r="C84">
        <v>40</v>
      </c>
      <c r="D84">
        <f>C84*A84</f>
        <v>40</v>
      </c>
      <c r="E84">
        <f>B84*C84</f>
        <v>6600</v>
      </c>
      <c r="F84">
        <f>SUM($E$84:E84)</f>
        <v>6600</v>
      </c>
      <c r="G84">
        <f>B84*D84-F84</f>
        <v>0</v>
      </c>
      <c r="H84" s="1">
        <f>G84/F84</f>
        <v>0</v>
      </c>
      <c r="J84" t="s">
        <v>447</v>
      </c>
      <c r="K84" t="s">
        <v>448</v>
      </c>
      <c r="L84">
        <v>40</v>
      </c>
      <c r="M84">
        <f>(B92+C92-10)*2*10</f>
        <v>5800</v>
      </c>
    </row>
    <row r="85" spans="1:13" x14ac:dyDescent="0.2">
      <c r="A85">
        <v>2</v>
      </c>
      <c r="B85">
        <v>155</v>
      </c>
      <c r="C85">
        <v>40</v>
      </c>
      <c r="D85">
        <f>C85*A85</f>
        <v>80</v>
      </c>
      <c r="E85">
        <f>B85*C85</f>
        <v>6200</v>
      </c>
      <c r="F85">
        <f>SUM($E$84:E85)</f>
        <v>12800</v>
      </c>
      <c r="G85">
        <f>B85*D85-F85</f>
        <v>-400</v>
      </c>
      <c r="H85" s="1">
        <f>G85/F85</f>
        <v>-3.125E-2</v>
      </c>
      <c r="M85">
        <f>(B93+C93-10)*2*10</f>
        <v>7000</v>
      </c>
    </row>
    <row r="86" spans="1:13" x14ac:dyDescent="0.2">
      <c r="A86">
        <v>3</v>
      </c>
      <c r="B86">
        <v>145</v>
      </c>
      <c r="C86">
        <v>40</v>
      </c>
      <c r="D86">
        <f>C86*A86</f>
        <v>120</v>
      </c>
      <c r="E86">
        <f>B86*C86</f>
        <v>5800</v>
      </c>
      <c r="F86">
        <f>SUM($E$84:E86)</f>
        <v>18600</v>
      </c>
      <c r="G86">
        <f>B86*D86-F86</f>
        <v>-1200</v>
      </c>
      <c r="H86" s="1">
        <f>G86/F86</f>
        <v>-6.4516129032258063E-2</v>
      </c>
      <c r="M86">
        <f>(B94+C94-10)*2*10</f>
        <v>4200</v>
      </c>
    </row>
    <row r="87" spans="1:13" x14ac:dyDescent="0.2">
      <c r="A87">
        <v>4</v>
      </c>
      <c r="B87">
        <v>135</v>
      </c>
      <c r="C87">
        <v>40</v>
      </c>
      <c r="D87">
        <f t="shared" ref="D87" si="13">C87*A87</f>
        <v>160</v>
      </c>
      <c r="E87">
        <f t="shared" ref="E87:E88" si="14">B87*C87</f>
        <v>5400</v>
      </c>
      <c r="F87">
        <f>SUM($E$84:E87)</f>
        <v>24000</v>
      </c>
      <c r="G87">
        <f>B87*D87-F87</f>
        <v>-2400</v>
      </c>
      <c r="H87" s="1">
        <f t="shared" ref="H87" si="15">G87/F87</f>
        <v>-0.1</v>
      </c>
    </row>
    <row r="88" spans="1:13" x14ac:dyDescent="0.2">
      <c r="A88">
        <v>5</v>
      </c>
      <c r="B88">
        <v>125</v>
      </c>
      <c r="C88">
        <v>40</v>
      </c>
      <c r="D88">
        <f>C88*A88</f>
        <v>200</v>
      </c>
      <c r="E88">
        <f t="shared" si="14"/>
        <v>5000</v>
      </c>
      <c r="F88">
        <f>SUM($E$84:E88)</f>
        <v>29000</v>
      </c>
      <c r="G88">
        <f>B88*D88-F88</f>
        <v>-4000</v>
      </c>
      <c r="H88" s="1">
        <f>G88/F88</f>
        <v>-0.13793103448275862</v>
      </c>
    </row>
    <row r="89" spans="1:13" x14ac:dyDescent="0.2">
      <c r="H89" s="1"/>
    </row>
    <row r="91" spans="1:13" x14ac:dyDescent="0.2">
      <c r="A91" t="s">
        <v>376</v>
      </c>
      <c r="B91" t="s">
        <v>389</v>
      </c>
      <c r="C91" t="s">
        <v>390</v>
      </c>
      <c r="D91" t="s">
        <v>418</v>
      </c>
      <c r="E91" t="s">
        <v>377</v>
      </c>
      <c r="F91" t="s">
        <v>429</v>
      </c>
      <c r="G91" t="s">
        <v>379</v>
      </c>
      <c r="H91" t="s">
        <v>383</v>
      </c>
      <c r="I91" t="s">
        <v>385</v>
      </c>
      <c r="J91" t="s">
        <v>380</v>
      </c>
      <c r="K91" t="s">
        <v>384</v>
      </c>
      <c r="L91" t="s">
        <v>387</v>
      </c>
    </row>
    <row r="92" spans="1:13" x14ac:dyDescent="0.2">
      <c r="A92">
        <v>113027</v>
      </c>
      <c r="B92">
        <v>130</v>
      </c>
      <c r="C92">
        <v>170</v>
      </c>
      <c r="D92">
        <v>170</v>
      </c>
      <c r="E92" t="s">
        <v>378</v>
      </c>
      <c r="F92">
        <v>30</v>
      </c>
      <c r="G92">
        <v>10</v>
      </c>
      <c r="H92">
        <f>-G92/10</f>
        <v>-1</v>
      </c>
      <c r="I92" t="s">
        <v>435</v>
      </c>
      <c r="J92">
        <v>-10</v>
      </c>
      <c r="K92">
        <f>-J92/10</f>
        <v>1</v>
      </c>
      <c r="L92" t="s">
        <v>434</v>
      </c>
    </row>
    <row r="93" spans="1:13" x14ac:dyDescent="0.2">
      <c r="A93">
        <v>123012</v>
      </c>
      <c r="B93">
        <v>160</v>
      </c>
      <c r="C93">
        <v>200</v>
      </c>
      <c r="D93">
        <v>200</v>
      </c>
      <c r="E93" t="s">
        <v>378</v>
      </c>
      <c r="F93">
        <v>30</v>
      </c>
      <c r="G93">
        <v>10</v>
      </c>
      <c r="H93">
        <f>-G93/10</f>
        <v>-1</v>
      </c>
      <c r="I93" t="s">
        <v>435</v>
      </c>
      <c r="J93">
        <v>-10</v>
      </c>
      <c r="K93">
        <f>-J93/10</f>
        <v>1</v>
      </c>
      <c r="L93" t="s">
        <v>434</v>
      </c>
    </row>
    <row r="94" spans="1:13" x14ac:dyDescent="0.2">
      <c r="A94">
        <v>128100</v>
      </c>
      <c r="B94">
        <v>100</v>
      </c>
      <c r="C94">
        <v>120</v>
      </c>
      <c r="D94">
        <f>C94</f>
        <v>120</v>
      </c>
      <c r="E94" t="s">
        <v>378</v>
      </c>
      <c r="F94">
        <v>30</v>
      </c>
      <c r="G94">
        <v>5</v>
      </c>
      <c r="H94">
        <f>-G94/10</f>
        <v>-0.5</v>
      </c>
      <c r="I94" t="s">
        <v>435</v>
      </c>
      <c r="J94">
        <v>-5</v>
      </c>
      <c r="K94">
        <f>-J94/10</f>
        <v>0.5</v>
      </c>
      <c r="L94" t="s">
        <v>434</v>
      </c>
    </row>
    <row r="97" spans="1:9" x14ac:dyDescent="0.2">
      <c r="A97" s="26"/>
    </row>
    <row r="98" spans="1:9" ht="19" x14ac:dyDescent="0.25">
      <c r="A98" s="26"/>
      <c r="B98" t="s">
        <v>504</v>
      </c>
      <c r="C98" s="28" t="s">
        <v>500</v>
      </c>
      <c r="D98">
        <v>130</v>
      </c>
      <c r="E98">
        <v>50</v>
      </c>
      <c r="F98">
        <v>160</v>
      </c>
      <c r="G98" s="25">
        <v>170.40299999999999</v>
      </c>
    </row>
    <row r="99" spans="1:9" ht="19" x14ac:dyDescent="0.25">
      <c r="A99" s="26"/>
      <c r="B99" t="s">
        <v>506</v>
      </c>
      <c r="C99" s="28" t="s">
        <v>498</v>
      </c>
      <c r="D99">
        <v>130</v>
      </c>
      <c r="E99">
        <v>160</v>
      </c>
      <c r="F99">
        <v>150</v>
      </c>
      <c r="G99" s="25">
        <v>146.67099999999999</v>
      </c>
      <c r="H99">
        <f>TRUNC((D99+40-G99)/10) * 80 - E99</f>
        <v>0</v>
      </c>
      <c r="I99">
        <f>G99*H99</f>
        <v>0</v>
      </c>
    </row>
    <row r="100" spans="1:9" ht="19" x14ac:dyDescent="0.25">
      <c r="A100" s="26"/>
      <c r="B100" t="s">
        <v>505</v>
      </c>
      <c r="C100" s="28" t="s">
        <v>509</v>
      </c>
      <c r="D100">
        <v>130</v>
      </c>
      <c r="E100">
        <v>100</v>
      </c>
      <c r="F100">
        <v>150</v>
      </c>
      <c r="G100" s="25">
        <v>151.45500000000001</v>
      </c>
      <c r="H100">
        <f>TRUNC((D100+40-G100)/10) * 80 - E100</f>
        <v>-20</v>
      </c>
      <c r="I100">
        <f t="shared" ref="I100:I114" si="16">G100*H100</f>
        <v>-3029.1000000000004</v>
      </c>
    </row>
    <row r="101" spans="1:9" ht="19" x14ac:dyDescent="0.25">
      <c r="A101" s="26"/>
      <c r="B101" t="s">
        <v>503</v>
      </c>
      <c r="C101" s="28" t="s">
        <v>493</v>
      </c>
      <c r="D101">
        <v>130</v>
      </c>
      <c r="E101">
        <v>160</v>
      </c>
      <c r="F101">
        <v>150</v>
      </c>
      <c r="G101" s="27">
        <v>145.15600000000001</v>
      </c>
      <c r="H101">
        <f>TRUNC((D101+40-G101)/10) * 80 - E101</f>
        <v>0</v>
      </c>
      <c r="I101">
        <f t="shared" si="16"/>
        <v>0</v>
      </c>
    </row>
    <row r="102" spans="1:9" ht="19" x14ac:dyDescent="0.25">
      <c r="A102" s="26"/>
      <c r="B102" t="s">
        <v>512</v>
      </c>
      <c r="C102" s="28" t="s">
        <v>517</v>
      </c>
      <c r="D102">
        <v>125</v>
      </c>
      <c r="E102">
        <v>160</v>
      </c>
      <c r="F102">
        <v>145</v>
      </c>
      <c r="G102" s="27">
        <v>136.80000000000001</v>
      </c>
      <c r="H102">
        <f>TRUNC((D102+40-G102)/10) * 80 - E102</f>
        <v>0</v>
      </c>
      <c r="I102">
        <f t="shared" si="16"/>
        <v>0</v>
      </c>
    </row>
    <row r="103" spans="1:9" ht="19" x14ac:dyDescent="0.25">
      <c r="A103" s="26"/>
      <c r="B103" t="s">
        <v>513</v>
      </c>
      <c r="C103" s="28" t="s">
        <v>508</v>
      </c>
      <c r="D103">
        <v>125</v>
      </c>
      <c r="E103">
        <v>160</v>
      </c>
      <c r="F103">
        <v>145</v>
      </c>
      <c r="G103" s="27">
        <v>140.785</v>
      </c>
      <c r="H103">
        <f>TRUNC((D103+40-G103)/10) * 80 - E103</f>
        <v>0</v>
      </c>
      <c r="I103">
        <f t="shared" si="16"/>
        <v>0</v>
      </c>
    </row>
    <row r="104" spans="1:9" ht="19" x14ac:dyDescent="0.25">
      <c r="A104" s="26"/>
      <c r="B104" t="s">
        <v>514</v>
      </c>
      <c r="C104" s="28" t="s">
        <v>507</v>
      </c>
      <c r="D104">
        <v>125</v>
      </c>
      <c r="E104">
        <v>100</v>
      </c>
      <c r="F104">
        <v>145</v>
      </c>
      <c r="G104" s="25">
        <v>147.18100000000001</v>
      </c>
      <c r="H104">
        <f>TRUNC((D104+40-G104)/10) * 80 - E104</f>
        <v>-20</v>
      </c>
      <c r="I104">
        <f t="shared" si="16"/>
        <v>-2943.6200000000003</v>
      </c>
    </row>
    <row r="105" spans="1:9" ht="19" x14ac:dyDescent="0.25">
      <c r="A105" s="27"/>
      <c r="B105" t="s">
        <v>515</v>
      </c>
      <c r="C105" s="28" t="s">
        <v>511</v>
      </c>
      <c r="D105">
        <v>130</v>
      </c>
      <c r="E105">
        <v>160</v>
      </c>
      <c r="F105">
        <v>150</v>
      </c>
      <c r="G105" s="27">
        <v>145</v>
      </c>
      <c r="H105">
        <f>TRUNC((D105+40-G105)/10) * 80 - E105</f>
        <v>0</v>
      </c>
      <c r="I105">
        <f t="shared" si="16"/>
        <v>0</v>
      </c>
    </row>
    <row r="106" spans="1:9" ht="19" x14ac:dyDescent="0.25">
      <c r="B106" t="s">
        <v>516</v>
      </c>
      <c r="C106" s="28" t="s">
        <v>510</v>
      </c>
      <c r="D106">
        <v>125</v>
      </c>
      <c r="E106">
        <v>50</v>
      </c>
      <c r="F106">
        <v>155</v>
      </c>
      <c r="G106">
        <v>146.15899999999999</v>
      </c>
      <c r="H106">
        <f>TRUNC((D106+40-G106)/10) * 80 - E106</f>
        <v>30</v>
      </c>
      <c r="I106">
        <f t="shared" si="16"/>
        <v>4384.7699999999995</v>
      </c>
    </row>
    <row r="107" spans="1:9" ht="19" x14ac:dyDescent="0.25">
      <c r="B107" t="s">
        <v>530</v>
      </c>
      <c r="C107" s="28" t="s">
        <v>531</v>
      </c>
      <c r="D107">
        <v>125</v>
      </c>
      <c r="E107">
        <v>80</v>
      </c>
      <c r="F107">
        <v>155</v>
      </c>
      <c r="G107">
        <v>149.5</v>
      </c>
      <c r="H107">
        <f>TRUNC((D107+40-G107)/10) * 80 - E107</f>
        <v>0</v>
      </c>
      <c r="I107">
        <f t="shared" si="16"/>
        <v>0</v>
      </c>
    </row>
    <row r="108" spans="1:9" ht="19" x14ac:dyDescent="0.25">
      <c r="C108" s="28"/>
    </row>
    <row r="109" spans="1:9" ht="19" x14ac:dyDescent="0.25">
      <c r="B109" t="s">
        <v>518</v>
      </c>
      <c r="C109" s="28" t="s">
        <v>519</v>
      </c>
      <c r="D109">
        <v>125</v>
      </c>
      <c r="F109">
        <v>145</v>
      </c>
      <c r="G109">
        <v>136.40100000000001</v>
      </c>
      <c r="H109">
        <f>TRUNC((D109+40-G109)/10) * 80 - E109</f>
        <v>160</v>
      </c>
      <c r="I109">
        <f t="shared" si="16"/>
        <v>21824.160000000003</v>
      </c>
    </row>
    <row r="110" spans="1:9" ht="19" x14ac:dyDescent="0.25">
      <c r="B110" t="s">
        <v>520</v>
      </c>
      <c r="C110" s="28" t="s">
        <v>521</v>
      </c>
      <c r="D110">
        <v>125</v>
      </c>
      <c r="F110">
        <v>145</v>
      </c>
      <c r="G110">
        <v>139.511</v>
      </c>
      <c r="H110">
        <f>TRUNC((D110+40-G110)/10) * 80 - E110</f>
        <v>160</v>
      </c>
      <c r="I110">
        <f t="shared" si="16"/>
        <v>22321.759999999998</v>
      </c>
    </row>
    <row r="111" spans="1:9" ht="19" x14ac:dyDescent="0.25">
      <c r="B111" t="s">
        <v>523</v>
      </c>
      <c r="C111" s="28" t="s">
        <v>522</v>
      </c>
      <c r="D111">
        <v>125</v>
      </c>
      <c r="F111">
        <v>135</v>
      </c>
      <c r="G111">
        <v>125.06100000000001</v>
      </c>
      <c r="H111">
        <f>TRUNC((D111+40-G111)/10) * 80 - E111</f>
        <v>240</v>
      </c>
      <c r="I111">
        <f t="shared" si="16"/>
        <v>30014.640000000003</v>
      </c>
    </row>
    <row r="112" spans="1:9" ht="19" x14ac:dyDescent="0.25">
      <c r="B112" t="s">
        <v>525</v>
      </c>
      <c r="C112" s="28" t="s">
        <v>524</v>
      </c>
      <c r="D112">
        <v>125</v>
      </c>
      <c r="F112">
        <v>145</v>
      </c>
      <c r="G112">
        <v>137.48599999999999</v>
      </c>
      <c r="H112">
        <f>TRUNC((D112+40-G112)/10) * 80 - E112</f>
        <v>160</v>
      </c>
      <c r="I112">
        <f t="shared" si="16"/>
        <v>21997.759999999998</v>
      </c>
    </row>
    <row r="113" spans="2:9" ht="19" x14ac:dyDescent="0.25">
      <c r="B113" t="s">
        <v>526</v>
      </c>
      <c r="C113" s="28" t="s">
        <v>527</v>
      </c>
      <c r="D113">
        <v>125</v>
      </c>
      <c r="F113">
        <v>135</v>
      </c>
      <c r="G113">
        <v>129.566</v>
      </c>
      <c r="H113">
        <f>TRUNC((D113+40-G113)/10) * 80 - E113</f>
        <v>240</v>
      </c>
      <c r="I113">
        <f t="shared" si="16"/>
        <v>31095.84</v>
      </c>
    </row>
    <row r="114" spans="2:9" ht="19" x14ac:dyDescent="0.25">
      <c r="B114" t="s">
        <v>529</v>
      </c>
      <c r="C114" s="28" t="s">
        <v>528</v>
      </c>
      <c r="D114">
        <v>125</v>
      </c>
      <c r="F114">
        <v>135</v>
      </c>
      <c r="G114">
        <v>134.82599999999999</v>
      </c>
      <c r="H114">
        <f>TRUNC((D114+40-G114)/10) * 80 - E114</f>
        <v>240</v>
      </c>
      <c r="I114">
        <f t="shared" si="16"/>
        <v>32358.239999999998</v>
      </c>
    </row>
    <row r="115" spans="2:9" x14ac:dyDescent="0.2">
      <c r="I115">
        <f>SUM(I109:I114)</f>
        <v>159612.4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617F-E7B2-3448-BD12-7AD51884140D}">
  <dimension ref="A3:E75"/>
  <sheetViews>
    <sheetView zoomScale="110" zoomScaleNormal="110" workbookViewId="0">
      <selection activeCell="C77" sqref="C77"/>
    </sheetView>
  </sheetViews>
  <sheetFormatPr baseColWidth="10" defaultRowHeight="16" x14ac:dyDescent="0.2"/>
  <cols>
    <col min="1" max="1" width="17.33203125" bestFit="1" customWidth="1"/>
    <col min="2" max="2" width="31.5" bestFit="1" customWidth="1"/>
    <col min="3" max="3" width="33.1640625" bestFit="1" customWidth="1"/>
    <col min="4" max="4" width="22.6640625" customWidth="1"/>
  </cols>
  <sheetData>
    <row r="3" spans="1:3" x14ac:dyDescent="0.2">
      <c r="B3" t="s">
        <v>41</v>
      </c>
      <c r="C3" t="s">
        <v>42</v>
      </c>
    </row>
    <row r="4" spans="1:3" x14ac:dyDescent="0.2">
      <c r="A4" t="s">
        <v>40</v>
      </c>
      <c r="B4" t="s">
        <v>50</v>
      </c>
      <c r="C4" t="s">
        <v>52</v>
      </c>
    </row>
    <row r="5" spans="1:3" x14ac:dyDescent="0.2">
      <c r="A5" t="s">
        <v>43</v>
      </c>
      <c r="B5" t="s">
        <v>51</v>
      </c>
      <c r="C5" t="s">
        <v>53</v>
      </c>
    </row>
    <row r="7" spans="1:3" x14ac:dyDescent="0.2">
      <c r="A7" t="s">
        <v>54</v>
      </c>
    </row>
    <row r="8" spans="1:3" x14ac:dyDescent="0.2">
      <c r="A8" t="s">
        <v>55</v>
      </c>
      <c r="B8" t="s">
        <v>56</v>
      </c>
    </row>
    <row r="9" spans="1:3" x14ac:dyDescent="0.2">
      <c r="A9" t="s">
        <v>57</v>
      </c>
      <c r="B9" t="s">
        <v>58</v>
      </c>
    </row>
    <row r="10" spans="1:3" x14ac:dyDescent="0.2">
      <c r="A10" t="s">
        <v>38</v>
      </c>
      <c r="B10" t="s">
        <v>59</v>
      </c>
    </row>
    <row r="11" spans="1:3" x14ac:dyDescent="0.2">
      <c r="A11" t="s">
        <v>60</v>
      </c>
      <c r="B11" t="s">
        <v>61</v>
      </c>
    </row>
    <row r="13" spans="1:3" x14ac:dyDescent="0.2">
      <c r="B13" t="s">
        <v>44</v>
      </c>
      <c r="C13" t="s">
        <v>45</v>
      </c>
    </row>
    <row r="14" spans="1:3" x14ac:dyDescent="0.2">
      <c r="A14" t="s">
        <v>40</v>
      </c>
      <c r="B14" t="s">
        <v>46</v>
      </c>
      <c r="C14" t="s">
        <v>48</v>
      </c>
    </row>
    <row r="15" spans="1:3" x14ac:dyDescent="0.2">
      <c r="A15" t="s">
        <v>62</v>
      </c>
      <c r="B15" t="s">
        <v>63</v>
      </c>
      <c r="C15" t="s">
        <v>64</v>
      </c>
    </row>
    <row r="16" spans="1:3" x14ac:dyDescent="0.2">
      <c r="A16" t="s">
        <v>67</v>
      </c>
      <c r="B16" t="s">
        <v>65</v>
      </c>
      <c r="C16" t="s">
        <v>66</v>
      </c>
    </row>
    <row r="17" spans="1:4" x14ac:dyDescent="0.2">
      <c r="A17" t="s">
        <v>43</v>
      </c>
      <c r="B17" t="s">
        <v>47</v>
      </c>
      <c r="C17" t="s">
        <v>49</v>
      </c>
    </row>
    <row r="18" spans="1:4" x14ac:dyDescent="0.2">
      <c r="A18" t="s">
        <v>62</v>
      </c>
      <c r="B18" t="s">
        <v>68</v>
      </c>
      <c r="C18" t="s">
        <v>69</v>
      </c>
    </row>
    <row r="19" spans="1:4" x14ac:dyDescent="0.2">
      <c r="A19" t="s">
        <v>67</v>
      </c>
      <c r="B19" t="s">
        <v>63</v>
      </c>
      <c r="C19" t="s">
        <v>64</v>
      </c>
    </row>
    <row r="22" spans="1:4" x14ac:dyDescent="0.2">
      <c r="A22" t="s">
        <v>70</v>
      </c>
      <c r="B22" t="s">
        <v>158</v>
      </c>
      <c r="C22" t="s">
        <v>157</v>
      </c>
    </row>
    <row r="23" spans="1:4" x14ac:dyDescent="0.2">
      <c r="B23" t="s">
        <v>71</v>
      </c>
    </row>
    <row r="24" spans="1:4" x14ac:dyDescent="0.2">
      <c r="A24" t="s">
        <v>78</v>
      </c>
      <c r="B24" t="s">
        <v>72</v>
      </c>
    </row>
    <row r="25" spans="1:4" x14ac:dyDescent="0.2">
      <c r="B25" t="s">
        <v>73</v>
      </c>
      <c r="C25" t="s">
        <v>75</v>
      </c>
    </row>
    <row r="26" spans="1:4" x14ac:dyDescent="0.2">
      <c r="B26" t="s">
        <v>74</v>
      </c>
    </row>
    <row r="27" spans="1:4" x14ac:dyDescent="0.2">
      <c r="B27" t="s">
        <v>76</v>
      </c>
    </row>
    <row r="28" spans="1:4" x14ac:dyDescent="0.2">
      <c r="B28" t="s">
        <v>77</v>
      </c>
    </row>
    <row r="31" spans="1:4" x14ac:dyDescent="0.2">
      <c r="A31" t="s">
        <v>156</v>
      </c>
      <c r="B31" t="s">
        <v>155</v>
      </c>
    </row>
    <row r="32" spans="1:4" x14ac:dyDescent="0.2">
      <c r="A32" t="s">
        <v>92</v>
      </c>
      <c r="B32" t="s">
        <v>86</v>
      </c>
      <c r="C32" t="s">
        <v>85</v>
      </c>
      <c r="D32" t="s">
        <v>87</v>
      </c>
    </row>
    <row r="33" spans="1:4" x14ac:dyDescent="0.2">
      <c r="B33" t="s">
        <v>79</v>
      </c>
      <c r="C33" t="s">
        <v>80</v>
      </c>
      <c r="D33" t="s">
        <v>102</v>
      </c>
    </row>
    <row r="34" spans="1:4" x14ac:dyDescent="0.2">
      <c r="A34" t="s">
        <v>81</v>
      </c>
      <c r="B34" t="s">
        <v>82</v>
      </c>
      <c r="C34" t="s">
        <v>97</v>
      </c>
      <c r="D34" t="s">
        <v>98</v>
      </c>
    </row>
    <row r="35" spans="1:4" x14ac:dyDescent="0.2">
      <c r="A35" t="s">
        <v>83</v>
      </c>
      <c r="B35" t="s">
        <v>84</v>
      </c>
      <c r="C35" t="s">
        <v>99</v>
      </c>
      <c r="D35" t="s">
        <v>98</v>
      </c>
    </row>
    <row r="37" spans="1:4" x14ac:dyDescent="0.2">
      <c r="A37" t="s">
        <v>88</v>
      </c>
      <c r="B37" t="s">
        <v>89</v>
      </c>
    </row>
    <row r="38" spans="1:4" x14ac:dyDescent="0.2">
      <c r="A38" t="s">
        <v>90</v>
      </c>
      <c r="B38" t="s">
        <v>91</v>
      </c>
    </row>
    <row r="41" spans="1:4" x14ac:dyDescent="0.2">
      <c r="A41" t="s">
        <v>93</v>
      </c>
      <c r="B41" t="s">
        <v>113</v>
      </c>
    </row>
    <row r="42" spans="1:4" x14ac:dyDescent="0.2">
      <c r="B42" t="s">
        <v>86</v>
      </c>
      <c r="C42" t="s">
        <v>85</v>
      </c>
      <c r="D42" t="s">
        <v>87</v>
      </c>
    </row>
    <row r="43" spans="1:4" x14ac:dyDescent="0.2">
      <c r="B43" t="s">
        <v>79</v>
      </c>
      <c r="C43" t="s">
        <v>94</v>
      </c>
      <c r="D43" t="s">
        <v>102</v>
      </c>
    </row>
    <row r="44" spans="1:4" x14ac:dyDescent="0.2">
      <c r="A44" t="s">
        <v>150</v>
      </c>
      <c r="B44" t="s">
        <v>95</v>
      </c>
      <c r="C44" t="s">
        <v>100</v>
      </c>
      <c r="D44" t="s">
        <v>110</v>
      </c>
    </row>
    <row r="45" spans="1:4" x14ac:dyDescent="0.2">
      <c r="A45" t="s">
        <v>96</v>
      </c>
      <c r="B45" t="s">
        <v>84</v>
      </c>
      <c r="C45" t="s">
        <v>101</v>
      </c>
      <c r="D45" t="s">
        <v>110</v>
      </c>
    </row>
    <row r="46" spans="1:4" x14ac:dyDescent="0.2">
      <c r="A46" t="s">
        <v>116</v>
      </c>
      <c r="B46" t="s">
        <v>105</v>
      </c>
      <c r="C46" t="s">
        <v>103</v>
      </c>
    </row>
    <row r="47" spans="1:4" x14ac:dyDescent="0.2">
      <c r="A47" t="s">
        <v>104</v>
      </c>
      <c r="B47" t="s">
        <v>106</v>
      </c>
    </row>
    <row r="50" spans="1:5" x14ac:dyDescent="0.2">
      <c r="A50" t="s">
        <v>107</v>
      </c>
      <c r="B50" t="s">
        <v>112</v>
      </c>
    </row>
    <row r="51" spans="1:5" x14ac:dyDescent="0.2">
      <c r="B51" t="s">
        <v>86</v>
      </c>
      <c r="C51" t="s">
        <v>85</v>
      </c>
      <c r="D51" t="s">
        <v>87</v>
      </c>
    </row>
    <row r="52" spans="1:5" x14ac:dyDescent="0.2">
      <c r="B52" t="s">
        <v>78</v>
      </c>
      <c r="C52" t="s">
        <v>80</v>
      </c>
      <c r="D52" t="s">
        <v>102</v>
      </c>
    </row>
    <row r="53" spans="1:5" x14ac:dyDescent="0.2">
      <c r="A53" t="s">
        <v>150</v>
      </c>
      <c r="B53" t="s">
        <v>108</v>
      </c>
      <c r="C53" t="s">
        <v>97</v>
      </c>
      <c r="D53" t="s">
        <v>111</v>
      </c>
    </row>
    <row r="54" spans="1:5" x14ac:dyDescent="0.2">
      <c r="A54" t="s">
        <v>96</v>
      </c>
      <c r="B54" t="s">
        <v>109</v>
      </c>
      <c r="C54" t="s">
        <v>99</v>
      </c>
      <c r="D54" t="s">
        <v>111</v>
      </c>
    </row>
    <row r="55" spans="1:5" x14ac:dyDescent="0.2">
      <c r="A55" t="s">
        <v>116</v>
      </c>
      <c r="B55" t="s">
        <v>114</v>
      </c>
      <c r="C55" t="s">
        <v>115</v>
      </c>
    </row>
    <row r="56" spans="1:5" x14ac:dyDescent="0.2">
      <c r="A56" t="s">
        <v>104</v>
      </c>
      <c r="B56" t="s">
        <v>106</v>
      </c>
    </row>
    <row r="59" spans="1:5" x14ac:dyDescent="0.2">
      <c r="A59" t="s">
        <v>160</v>
      </c>
      <c r="B59" t="s">
        <v>153</v>
      </c>
    </row>
    <row r="60" spans="1:5" x14ac:dyDescent="0.2">
      <c r="B60" s="12" t="s">
        <v>117</v>
      </c>
      <c r="C60" s="12" t="s">
        <v>128</v>
      </c>
      <c r="D60" t="s">
        <v>125</v>
      </c>
    </row>
    <row r="61" spans="1:5" x14ac:dyDescent="0.2">
      <c r="A61" t="s">
        <v>133</v>
      </c>
      <c r="B61" s="12" t="s">
        <v>132</v>
      </c>
      <c r="C61" s="12" t="s">
        <v>135</v>
      </c>
      <c r="D61" t="s">
        <v>102</v>
      </c>
    </row>
    <row r="62" spans="1:5" x14ac:dyDescent="0.2">
      <c r="A62" t="s">
        <v>148</v>
      </c>
      <c r="B62" t="s">
        <v>95</v>
      </c>
      <c r="C62" t="s">
        <v>118</v>
      </c>
      <c r="D62" t="s">
        <v>119</v>
      </c>
      <c r="E62" t="s">
        <v>126</v>
      </c>
    </row>
    <row r="63" spans="1:5" x14ac:dyDescent="0.2">
      <c r="A63" t="s">
        <v>149</v>
      </c>
      <c r="B63" t="s">
        <v>84</v>
      </c>
      <c r="C63" t="s">
        <v>120</v>
      </c>
      <c r="D63" t="s">
        <v>121</v>
      </c>
    </row>
    <row r="64" spans="1:5" x14ac:dyDescent="0.2">
      <c r="A64" t="s">
        <v>122</v>
      </c>
      <c r="B64" t="s">
        <v>84</v>
      </c>
      <c r="C64" t="s">
        <v>123</v>
      </c>
      <c r="D64" t="s">
        <v>124</v>
      </c>
      <c r="E64" t="s">
        <v>127</v>
      </c>
    </row>
    <row r="65" spans="1:5" x14ac:dyDescent="0.2">
      <c r="A65" t="s">
        <v>129</v>
      </c>
      <c r="B65" t="s">
        <v>130</v>
      </c>
    </row>
    <row r="66" spans="1:5" x14ac:dyDescent="0.2">
      <c r="A66" t="s">
        <v>131</v>
      </c>
      <c r="B66" t="s">
        <v>134</v>
      </c>
    </row>
    <row r="69" spans="1:5" x14ac:dyDescent="0.2">
      <c r="A69" t="s">
        <v>159</v>
      </c>
      <c r="B69" t="s">
        <v>154</v>
      </c>
    </row>
    <row r="70" spans="1:5" x14ac:dyDescent="0.2">
      <c r="B70" s="12" t="s">
        <v>138</v>
      </c>
      <c r="C70" s="12" t="s">
        <v>139</v>
      </c>
      <c r="D70" t="s">
        <v>125</v>
      </c>
    </row>
    <row r="71" spans="1:5" x14ac:dyDescent="0.2">
      <c r="A71" t="s">
        <v>134</v>
      </c>
      <c r="B71" s="12" t="s">
        <v>137</v>
      </c>
      <c r="C71" s="12" t="s">
        <v>136</v>
      </c>
      <c r="D71" t="s">
        <v>102</v>
      </c>
    </row>
    <row r="72" spans="1:5" x14ac:dyDescent="0.2">
      <c r="A72" t="s">
        <v>141</v>
      </c>
      <c r="B72" t="s">
        <v>140</v>
      </c>
      <c r="C72" t="s">
        <v>142</v>
      </c>
      <c r="D72" t="s">
        <v>144</v>
      </c>
      <c r="E72" t="s">
        <v>127</v>
      </c>
    </row>
    <row r="73" spans="1:5" x14ac:dyDescent="0.2">
      <c r="A73" t="s">
        <v>146</v>
      </c>
      <c r="B73" t="s">
        <v>108</v>
      </c>
      <c r="C73" t="s">
        <v>142</v>
      </c>
      <c r="D73" t="s">
        <v>145</v>
      </c>
    </row>
    <row r="74" spans="1:5" x14ac:dyDescent="0.2">
      <c r="A74" t="s">
        <v>147</v>
      </c>
      <c r="B74" t="s">
        <v>108</v>
      </c>
      <c r="C74" t="s">
        <v>143</v>
      </c>
      <c r="D74" t="s">
        <v>151</v>
      </c>
      <c r="E74" t="s">
        <v>126</v>
      </c>
    </row>
    <row r="75" spans="1:5" x14ac:dyDescent="0.2">
      <c r="A75" s="12" t="s">
        <v>129</v>
      </c>
      <c r="B75" s="12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opLeftCell="A15" zoomScale="130" zoomScaleNormal="130" workbookViewId="0">
      <selection activeCell="E3" sqref="E3"/>
    </sheetView>
  </sheetViews>
  <sheetFormatPr baseColWidth="10" defaultRowHeight="16" x14ac:dyDescent="0.2"/>
  <cols>
    <col min="1" max="1" width="38.83203125" bestFit="1" customWidth="1"/>
    <col min="2" max="2" width="14.33203125" bestFit="1" customWidth="1"/>
    <col min="3" max="3" width="12.33203125" bestFit="1" customWidth="1"/>
    <col min="4" max="4" width="12.1640625" bestFit="1" customWidth="1"/>
    <col min="5" max="5" width="10.6640625" bestFit="1" customWidth="1"/>
    <col min="6" max="6" width="12.5" bestFit="1" customWidth="1"/>
    <col min="7" max="7" width="13.1640625" bestFit="1" customWidth="1"/>
    <col min="8" max="8" width="11.164062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7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7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7" x14ac:dyDescent="0.2">
      <c r="A4" t="s">
        <v>6</v>
      </c>
      <c r="B4" s="3">
        <v>2</v>
      </c>
      <c r="C4" s="3">
        <v>9190000</v>
      </c>
      <c r="D4" s="2">
        <f xml:space="preserve"> POWER((C4 / B4), 1 / E4) - 1</f>
        <v>0.26166402541166955</v>
      </c>
      <c r="E4" s="3">
        <v>66</v>
      </c>
    </row>
    <row r="5" spans="1:7" x14ac:dyDescent="0.2">
      <c r="A5" t="s">
        <v>8</v>
      </c>
      <c r="B5" s="3">
        <v>10</v>
      </c>
      <c r="C5" s="3">
        <v>20</v>
      </c>
      <c r="D5" s="1">
        <v>0.1</v>
      </c>
      <c r="E5" s="4">
        <f xml:space="preserve"> LOG(C5 / B5, 1 + D5)</f>
        <v>7.2725408973417132</v>
      </c>
    </row>
    <row r="8" spans="1:7" x14ac:dyDescent="0.2">
      <c r="A8" t="s">
        <v>9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</row>
    <row r="9" spans="1:7" x14ac:dyDescent="0.2">
      <c r="A9" t="s">
        <v>11</v>
      </c>
      <c r="B9" s="4">
        <f xml:space="preserve"> C9 * E9 * POWER(1 + E9, G9) / (POWER(1 + E9, G9) - 1)</f>
        <v>13002.804655258717</v>
      </c>
      <c r="C9" s="3">
        <v>2450000</v>
      </c>
      <c r="D9" s="5">
        <v>4.9000000000000002E-2</v>
      </c>
      <c r="E9" s="1">
        <f>D9/12</f>
        <v>4.0833333333333338E-3</v>
      </c>
      <c r="F9">
        <v>30</v>
      </c>
      <c r="G9">
        <f>F9 * 12</f>
        <v>360</v>
      </c>
    </row>
    <row r="10" spans="1:7" x14ac:dyDescent="0.2">
      <c r="B10" t="s">
        <v>19</v>
      </c>
      <c r="C10" t="s">
        <v>14</v>
      </c>
      <c r="D10" t="s">
        <v>15</v>
      </c>
      <c r="E10" t="s">
        <v>16</v>
      </c>
      <c r="F10" t="s">
        <v>17</v>
      </c>
    </row>
    <row r="11" spans="1:7" x14ac:dyDescent="0.2">
      <c r="A11" t="s">
        <v>18</v>
      </c>
      <c r="B11" s="2">
        <f xml:space="preserve"> 12 * D11 * POWER(1 + D11, F11) / (POWER(1 + D11, F11) - 1)</f>
        <v>6.3687206474736566E-2</v>
      </c>
      <c r="C11" s="5">
        <v>4.9000000000000002E-2</v>
      </c>
      <c r="D11" s="1">
        <f>C11/12</f>
        <v>4.0833333333333338E-3</v>
      </c>
      <c r="E11">
        <v>30</v>
      </c>
      <c r="F11">
        <f>E11 * 12</f>
        <v>360</v>
      </c>
    </row>
    <row r="12" spans="1:7" x14ac:dyDescent="0.2">
      <c r="B12" s="2">
        <f xml:space="preserve"> 12 * D12 * POWER(1 + D12, F12) / (POWER(1 + D12, F12) - 1)</f>
        <v>4.435433672265713E-2</v>
      </c>
      <c r="C12" s="5">
        <v>0.02</v>
      </c>
      <c r="D12" s="1">
        <f>C12/12</f>
        <v>1.6666666666666668E-3</v>
      </c>
      <c r="E12">
        <v>30</v>
      </c>
      <c r="F12">
        <f>E12 * 12</f>
        <v>360</v>
      </c>
    </row>
    <row r="13" spans="1:7" x14ac:dyDescent="0.2">
      <c r="B13" s="2">
        <f xml:space="preserve"> 12 * D13 * POWER(1 + D13, F13) / (POWER(1 + D13, F13) - 1)</f>
        <v>7.1946063018331063E-2</v>
      </c>
      <c r="C13" s="6">
        <v>0.06</v>
      </c>
      <c r="D13" s="1">
        <f>C13 / 12</f>
        <v>5.0000000000000001E-3</v>
      </c>
      <c r="E13">
        <v>30</v>
      </c>
      <c r="F13">
        <f>E13 * 12</f>
        <v>360</v>
      </c>
    </row>
    <row r="14" spans="1:7" x14ac:dyDescent="0.2">
      <c r="B14" s="1"/>
    </row>
    <row r="16" spans="1:7" x14ac:dyDescent="0.2">
      <c r="A16" t="s">
        <v>10</v>
      </c>
      <c r="B16" t="s">
        <v>20</v>
      </c>
      <c r="C16" t="s">
        <v>21</v>
      </c>
      <c r="D16" t="s">
        <v>24</v>
      </c>
      <c r="E16" t="s">
        <v>22</v>
      </c>
      <c r="F16" t="s">
        <v>23</v>
      </c>
      <c r="G16" t="s">
        <v>19</v>
      </c>
    </row>
    <row r="17" spans="1:8" x14ac:dyDescent="0.2">
      <c r="A17" t="s">
        <v>25</v>
      </c>
      <c r="B17" s="4">
        <f xml:space="preserve"> 10.8 * C17 / (D17 * (E17 + F17) + G17 * (1 - E17))</f>
        <v>932803.59302124719</v>
      </c>
      <c r="C17">
        <v>5000</v>
      </c>
      <c r="D17" s="5">
        <v>3.7999999999999999E-2</v>
      </c>
      <c r="E17" s="6">
        <v>0.3</v>
      </c>
      <c r="F17" s="6">
        <v>0.05</v>
      </c>
      <c r="G17" s="5">
        <v>6.3700000000000007E-2</v>
      </c>
    </row>
    <row r="18" spans="1:8" x14ac:dyDescent="0.2">
      <c r="B18" s="4">
        <f xml:space="preserve"> 10.8 * C18 / (D18 * (E18 + F18) + G18 * (1 - E18))</f>
        <v>1314360.6066279721</v>
      </c>
      <c r="C18">
        <v>6500</v>
      </c>
      <c r="D18" s="5">
        <v>2.52E-2</v>
      </c>
      <c r="E18" s="6">
        <v>0.3</v>
      </c>
      <c r="F18" s="6">
        <v>0.05</v>
      </c>
      <c r="G18" s="5">
        <v>6.3700000000000007E-2</v>
      </c>
    </row>
    <row r="20" spans="1:8" x14ac:dyDescent="0.2">
      <c r="B20" t="s">
        <v>20</v>
      </c>
      <c r="C20" t="s">
        <v>21</v>
      </c>
      <c r="D20" t="s">
        <v>24</v>
      </c>
      <c r="E20" t="s">
        <v>22</v>
      </c>
      <c r="F20" t="s">
        <v>23</v>
      </c>
      <c r="G20" t="s">
        <v>19</v>
      </c>
      <c r="H20" t="s">
        <v>26</v>
      </c>
    </row>
    <row r="21" spans="1:8" x14ac:dyDescent="0.2">
      <c r="A21" t="s">
        <v>27</v>
      </c>
      <c r="B21" s="7">
        <f xml:space="preserve"> 12 * (C21 - H21) / (D21 * (E21 + F21) + G21 * (1 - E21))</f>
        <v>16905269.570514772</v>
      </c>
      <c r="C21">
        <v>63000</v>
      </c>
      <c r="D21" s="5">
        <v>2.52E-2</v>
      </c>
      <c r="E21" s="6">
        <v>0.3</v>
      </c>
      <c r="F21" s="6">
        <v>0.03</v>
      </c>
      <c r="G21" s="5">
        <v>4.4400000000000002E-2</v>
      </c>
      <c r="H21">
        <v>7500</v>
      </c>
    </row>
    <row r="22" spans="1:8" x14ac:dyDescent="0.2">
      <c r="B22" s="4">
        <f xml:space="preserve"> 12 * (C22 - H22) / (D22 * (E22 + F22) + G22 * (1 - E22))</f>
        <v>201632.26116178586</v>
      </c>
      <c r="C22">
        <v>1800</v>
      </c>
      <c r="D22" s="5">
        <v>3.7999999999999999E-2</v>
      </c>
      <c r="E22" s="6">
        <v>0.3</v>
      </c>
      <c r="F22" s="6">
        <v>0.02</v>
      </c>
      <c r="G22" s="5">
        <v>7.1900000000000006E-2</v>
      </c>
      <c r="H22">
        <v>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4E00-D05A-8A48-9385-B4D2154494C1}">
  <dimension ref="A1:G20"/>
  <sheetViews>
    <sheetView topLeftCell="A14" zoomScale="130" zoomScaleNormal="130" workbookViewId="0">
      <selection activeCell="B27" sqref="B27"/>
    </sheetView>
  </sheetViews>
  <sheetFormatPr baseColWidth="10" defaultRowHeight="16" x14ac:dyDescent="0.2"/>
  <cols>
    <col min="1" max="1" width="25.83203125" customWidth="1"/>
    <col min="2" max="2" width="11.5" customWidth="1"/>
    <col min="3" max="3" width="14.33203125" bestFit="1" customWidth="1"/>
    <col min="4" max="4" width="15.5" customWidth="1"/>
    <col min="5" max="5" width="16.6640625" customWidth="1"/>
    <col min="6" max="6" width="20" customWidth="1"/>
    <col min="7" max="7" width="16.83203125" customWidth="1"/>
  </cols>
  <sheetData>
    <row r="1" spans="1:7" x14ac:dyDescent="0.2">
      <c r="A1" t="s">
        <v>455</v>
      </c>
    </row>
    <row r="2" spans="1:7" x14ac:dyDescent="0.2">
      <c r="A2" t="s">
        <v>452</v>
      </c>
    </row>
    <row r="3" spans="1:7" x14ac:dyDescent="0.2">
      <c r="A3" t="s">
        <v>453</v>
      </c>
    </row>
    <row r="4" spans="1:7" x14ac:dyDescent="0.2">
      <c r="A4" t="s">
        <v>454</v>
      </c>
    </row>
    <row r="6" spans="1:7" ht="68" x14ac:dyDescent="0.2">
      <c r="A6" s="11"/>
      <c r="B6" s="11" t="s">
        <v>456</v>
      </c>
      <c r="C6" s="11" t="s">
        <v>457</v>
      </c>
      <c r="D6" s="11" t="s">
        <v>458</v>
      </c>
      <c r="E6" s="11" t="s">
        <v>459</v>
      </c>
      <c r="F6" s="11" t="s">
        <v>460</v>
      </c>
      <c r="G6" s="11" t="s">
        <v>461</v>
      </c>
    </row>
    <row r="7" spans="1:7" x14ac:dyDescent="0.2">
      <c r="A7" t="s">
        <v>480</v>
      </c>
      <c r="B7" s="11"/>
      <c r="C7" s="11"/>
      <c r="D7" s="11"/>
      <c r="E7" s="11"/>
      <c r="F7" s="11"/>
      <c r="G7" s="11"/>
    </row>
    <row r="8" spans="1:7" ht="34" x14ac:dyDescent="0.2">
      <c r="A8" s="11" t="s">
        <v>469</v>
      </c>
      <c r="B8" s="11" t="s">
        <v>462</v>
      </c>
      <c r="C8" s="11" t="s">
        <v>463</v>
      </c>
      <c r="D8" s="11" t="s">
        <v>464</v>
      </c>
      <c r="E8" s="11" t="s">
        <v>465</v>
      </c>
      <c r="F8" s="11" t="s">
        <v>466</v>
      </c>
      <c r="G8" s="11" t="s">
        <v>467</v>
      </c>
    </row>
    <row r="9" spans="1:7" ht="17" x14ac:dyDescent="0.2">
      <c r="A9" s="11" t="s">
        <v>468</v>
      </c>
      <c r="B9">
        <v>0.15</v>
      </c>
      <c r="C9">
        <f>1-B9</f>
        <v>0.85</v>
      </c>
      <c r="D9">
        <v>0.8</v>
      </c>
      <c r="E9">
        <v>0.5</v>
      </c>
      <c r="F9">
        <f>B9*D9+C9*E9</f>
        <v>0.54499999999999993</v>
      </c>
      <c r="G9" s="22">
        <f>D9*B9/F9</f>
        <v>0.22018348623853212</v>
      </c>
    </row>
    <row r="10" spans="1:7" ht="34" x14ac:dyDescent="0.2">
      <c r="A10" s="11" t="s">
        <v>470</v>
      </c>
      <c r="B10" s="11" t="s">
        <v>462</v>
      </c>
      <c r="C10" s="11" t="s">
        <v>463</v>
      </c>
      <c r="D10" s="11" t="s">
        <v>471</v>
      </c>
      <c r="E10" s="11" t="s">
        <v>472</v>
      </c>
      <c r="F10" s="11" t="s">
        <v>484</v>
      </c>
      <c r="G10" s="11" t="s">
        <v>467</v>
      </c>
    </row>
    <row r="11" spans="1:7" ht="17" x14ac:dyDescent="0.2">
      <c r="A11" s="11" t="s">
        <v>473</v>
      </c>
      <c r="B11" s="22">
        <f>G9</f>
        <v>0.22018348623853212</v>
      </c>
      <c r="C11" s="22">
        <f>1-B11</f>
        <v>0.77981651376146788</v>
      </c>
      <c r="D11">
        <f>1-D9</f>
        <v>0.19999999999999996</v>
      </c>
      <c r="E11">
        <f>1-E9</f>
        <v>0.5</v>
      </c>
      <c r="F11" s="22">
        <f>B11*D11+C11*E11</f>
        <v>0.43394495412844036</v>
      </c>
      <c r="G11" s="22">
        <f>B11*D11/F11</f>
        <v>0.1014799154334038</v>
      </c>
    </row>
    <row r="12" spans="1:7" x14ac:dyDescent="0.2">
      <c r="A12" s="11"/>
      <c r="B12" s="22"/>
      <c r="C12" s="22"/>
      <c r="F12" s="22"/>
      <c r="G12" s="22"/>
    </row>
    <row r="13" spans="1:7" x14ac:dyDescent="0.2">
      <c r="A13" t="s">
        <v>481</v>
      </c>
    </row>
    <row r="14" spans="1:7" ht="51" x14ac:dyDescent="0.2">
      <c r="A14" s="11"/>
      <c r="B14" s="11" t="s">
        <v>474</v>
      </c>
      <c r="C14" s="11" t="s">
        <v>476</v>
      </c>
      <c r="D14" s="11" t="s">
        <v>478</v>
      </c>
      <c r="E14" s="11" t="s">
        <v>479</v>
      </c>
      <c r="F14" t="s">
        <v>475</v>
      </c>
      <c r="G14" s="11" t="s">
        <v>477</v>
      </c>
    </row>
    <row r="15" spans="1:7" ht="17" x14ac:dyDescent="0.2">
      <c r="A15" s="11" t="s">
        <v>482</v>
      </c>
      <c r="B15" s="5">
        <v>1E-4</v>
      </c>
      <c r="C15" s="5">
        <f>1-B15</f>
        <v>0.99990000000000001</v>
      </c>
      <c r="D15" s="5">
        <v>0.999</v>
      </c>
      <c r="E15" s="5">
        <v>1E-4</v>
      </c>
      <c r="F15" s="5">
        <f>B15*D15+C15*E15</f>
        <v>1.9989000000000001E-4</v>
      </c>
      <c r="G15" s="5">
        <f>B15*D15/F15</f>
        <v>0.49977487618190003</v>
      </c>
    </row>
    <row r="16" spans="1:7" ht="17" x14ac:dyDescent="0.2">
      <c r="A16" s="11" t="s">
        <v>483</v>
      </c>
      <c r="B16" s="5">
        <f>G15</f>
        <v>0.49977487618190003</v>
      </c>
      <c r="C16" s="5">
        <f>1-B16</f>
        <v>0.50022512381809991</v>
      </c>
      <c r="D16" s="5">
        <v>0.999</v>
      </c>
      <c r="E16" s="5">
        <v>1E-4</v>
      </c>
      <c r="F16" s="5">
        <f>B16*D16+C16*E16</f>
        <v>0.4993251238180999</v>
      </c>
      <c r="G16" s="5">
        <f>B16*D16/F16</f>
        <v>0.99989981975671627</v>
      </c>
    </row>
    <row r="18" spans="1:7" x14ac:dyDescent="0.2">
      <c r="A18" t="s">
        <v>485</v>
      </c>
    </row>
    <row r="19" spans="1:7" ht="51" x14ac:dyDescent="0.2">
      <c r="A19" s="11"/>
      <c r="B19" s="11" t="s">
        <v>486</v>
      </c>
      <c r="C19" s="11" t="s">
        <v>487</v>
      </c>
      <c r="D19" s="11" t="s">
        <v>488</v>
      </c>
      <c r="E19" s="11" t="s">
        <v>489</v>
      </c>
      <c r="F19" s="11" t="s">
        <v>490</v>
      </c>
      <c r="G19" s="11" t="s">
        <v>491</v>
      </c>
    </row>
    <row r="20" spans="1:7" ht="17" x14ac:dyDescent="0.2">
      <c r="A20" s="11" t="s">
        <v>492</v>
      </c>
      <c r="B20" s="5">
        <v>2.9999999999999997E-4</v>
      </c>
      <c r="C20" s="5">
        <f>1-B20</f>
        <v>0.99970000000000003</v>
      </c>
      <c r="D20" s="6">
        <v>0.99</v>
      </c>
      <c r="E20" s="6">
        <v>0.05</v>
      </c>
      <c r="F20" s="5">
        <f>B20*D20+C20*E20</f>
        <v>5.0282E-2</v>
      </c>
      <c r="G20" s="5">
        <f>B20*C20/F20</f>
        <v>5.9645598822640304E-3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复利</vt:lpstr>
      <vt:lpstr>估值指标</vt:lpstr>
      <vt:lpstr>指数阈值</vt:lpstr>
      <vt:lpstr>可转债</vt:lpstr>
      <vt:lpstr>网格</vt:lpstr>
      <vt:lpstr>期权</vt:lpstr>
      <vt:lpstr>房产计算</vt:lpstr>
      <vt:lpstr>贝叶斯</vt:lpstr>
      <vt:lpstr>指数阈值!threashold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2020-04-25T03:32:26Z</dcterms:created>
  <dcterms:modified xsi:type="dcterms:W3CDTF">2022-12-24T10:11:40Z</dcterms:modified>
</cp:coreProperties>
</file>