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amah\Documents\Work\NEF\HPI\HPI 2021\"/>
    </mc:Choice>
  </mc:AlternateContent>
  <xr:revisionPtr revIDLastSave="0" documentId="13_ncr:1_{F5D677FF-0E3B-4CE6-A759-A9718ED550FC}" xr6:coauthVersionLast="47" xr6:coauthVersionMax="47" xr10:uidLastSave="{00000000-0000-0000-0000-000000000000}"/>
  <workbookProtection workbookAlgorithmName="SHA-512" workbookHashValue="Ks+AdszOln5C1N9EjKpzKx+hXfTPfWcQPpVyZRd2HB2gQNfYr+stIuQ7gBUCD6w1Q0H3LmRCJUkhMlz85kpZtQ==" workbookSaltValue="S58iDNoBCiZXj4kvALx4Zw==" workbookSpinCount="100000" lockStructure="1"/>
  <bookViews>
    <workbookView xWindow="23880" yWindow="-1545" windowWidth="29040" windowHeight="15840" tabRatio="705"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 r:id="rId17"/>
  </externalReferences>
  <definedNames>
    <definedName name="\I" localSheetId="5">#REF!</definedName>
    <definedName name="\I">#REF!</definedName>
    <definedName name="\P" localSheetId="5">#REF!</definedName>
    <definedName name="\P">#REF!</definedName>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I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A13" i="15"/>
  <c r="J51"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<sst xmlns="http://schemas.openxmlformats.org/spreadsheetml/2006/main" count="4506" uniqueCount="467">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</sst>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9">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4" fillId="0" borderId="0" xfId="1" applyFont="1" applyFill="1" applyAlignment="1">
      <alignment wrapText="1"/>
    </xf>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applyAlignment="1"/>
    <xf numFmtId="0" fontId="15" fillId="0" borderId="0" xfId="0" applyFont="1"/>
    <xf numFmtId="0" fontId="17" fillId="9" borderId="0" xfId="0" applyFont="1" applyFill="1"/>
    <xf numFmtId="0" fontId="17" fillId="9" borderId="0" xfId="0" applyFont="1" applyFill="1" applyAlignment="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0"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Fill="1" applyBorder="1" applyAlignment="1">
      <alignment wrapText="1"/>
    </xf>
    <xf numFmtId="0" fontId="19" fillId="0" borderId="0" xfId="0" applyFont="1" applyFill="1" applyBorder="1" applyAlignment="1">
      <alignment wrapText="1"/>
    </xf>
    <xf numFmtId="0" fontId="14" fillId="0" borderId="14" xfId="0" applyFont="1" applyBorder="1" applyAlignment="1">
      <alignment horizontal="left" vertical="top"/>
    </xf>
    <xf numFmtId="164" fontId="15" fillId="0" borderId="0" xfId="0" applyNumberFormat="1" applyFont="1" applyBorder="1"/>
    <xf numFmtId="2" fontId="15" fillId="0" borderId="0" xfId="0" applyNumberFormat="1" applyFont="1" applyBorder="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2" fontId="15" fillId="0" borderId="0" xfId="0" applyNumberFormat="1" applyFont="1"/>
    <xf numFmtId="0" fontId="14" fillId="0" borderId="0" xfId="0" applyFont="1" applyAlignment="1">
      <alignment wrapText="1"/>
    </xf>
    <xf numFmtId="0" fontId="14" fillId="0" borderId="0" xfId="0" applyFont="1" applyBorder="1" applyAlignment="1">
      <alignment horizontal="left" vertical="top"/>
    </xf>
    <xf numFmtId="164" fontId="15" fillId="0" borderId="0" xfId="0" applyNumberFormat="1" applyFont="1" applyAlignment="1">
      <alignment horizontal="right"/>
    </xf>
    <xf numFmtId="0" fontId="14" fillId="0" borderId="0" xfId="0" applyFont="1" applyAlignment="1">
      <alignment horizontal="left" vertical="top"/>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27" fillId="2" borderId="0" xfId="0" applyFont="1" applyFill="1" applyBorder="1"/>
    <xf numFmtId="0" fontId="15" fillId="0" borderId="1" xfId="0" applyFont="1" applyBorder="1"/>
    <xf numFmtId="165" fontId="30" fillId="0" borderId="0" xfId="1" applyNumberFormat="1" applyFont="1" applyBorder="1"/>
    <xf numFmtId="164" fontId="29" fillId="0" borderId="0" xfId="1" applyNumberFormat="1" applyFont="1" applyBorder="1"/>
    <xf numFmtId="1" fontId="15" fillId="0" borderId="3" xfId="0" applyNumberFormat="1" applyFont="1" applyBorder="1"/>
    <xf numFmtId="0" fontId="30" fillId="0" borderId="0" xfId="0" applyFont="1" applyBorder="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11" fillId="5" borderId="0" xfId="2" applyFont="1" applyFill="1" applyAlignment="1"/>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2" fillId="0" borderId="0" xfId="0" applyFont="1" applyAlignment="1">
      <alignment horizont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chartsheet" Target="chartsheets/sheet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-1.5153704382664706</c:v>
                </c:pt>
                <c:pt idx="1">
                  <c:v>-1.4468604279926285</c:v>
                </c:pt>
                <c:pt idx="2">
                  <c:v>-1.3897687527644269</c:v>
                </c:pt>
                <c:pt idx="3">
                  <c:v>-1.3212587424905851</c:v>
                </c:pt>
                <c:pt idx="4">
                  <c:v>-1.2641670672623835</c:v>
                </c:pt>
                <c:pt idx="5">
                  <c:v>-1.1956570569885414</c:v>
                </c:pt>
                <c:pt idx="6">
                  <c:v>-1.1385653817603398</c:v>
                </c:pt>
                <c:pt idx="7">
                  <c:v>-1.0928920415777788</c:v>
                </c:pt>
                <c:pt idx="8">
                  <c:v>-1.0358003663495772</c:v>
                </c:pt>
                <c:pt idx="9">
                  <c:v>-0.99012702616701609</c:v>
                </c:pt>
                <c:pt idx="10">
                  <c:v>-0.944453685984455</c:v>
                </c:pt>
                <c:pt idx="11">
                  <c:v>-0.91019868084753441</c:v>
                </c:pt>
                <c:pt idx="12">
                  <c:v>-0.86452534066497255</c:v>
                </c:pt>
                <c:pt idx="13">
                  <c:v>-0.83027033552805185</c:v>
                </c:pt>
                <c:pt idx="14">
                  <c:v>-0.8195073500608111</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#N/A</c:v>
                </c:pt>
                <c:pt idx="1">
                  <c:v>#N/A</c:v>
                </c:pt>
                <c:pt idx="2">
                  <c:v>-1.5068065339640857</c:v>
                </c:pt>
                <c:pt idx="3">
                  <c:v>-0.90396023931927971</c:v>
                </c:pt>
                <c:pt idx="4">
                  <c:v>-0.58697365915545774</c:v>
                </c:pt>
                <c:pt idx="5">
                  <c:v>-1.410689683832403</c:v>
                </c:pt>
                <c:pt idx="6">
                  <c:v>-1.4540520153390013</c:v>
                </c:pt>
                <c:pt idx="7">
                  <c:v>-1.6414665955606835</c:v>
                </c:pt>
                <c:pt idx="8">
                  <c:v>-2.0336565835010596</c:v>
                </c:pt>
                <c:pt idx="9">
                  <c:v>-1.276344341144372</c:v>
                </c:pt>
                <c:pt idx="10">
                  <c:v>-1.0653942967919463</c:v>
                </c:pt>
                <c:pt idx="11">
                  <c:v>-2.4507116964693827</c:v>
                </c:pt>
                <c:pt idx="12">
                  <c:v>-2.4217465364211446</c:v>
                </c:pt>
                <c:pt idx="13">
                  <c:v>-2.7054958327933689</c:v>
                </c:pt>
                <c:pt idx="14">
                  <c:v>#N/A</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-1.0128411553513739</c:v>
                </c:pt>
                <c:pt idx="1">
                  <c:v>-0.99692053787408264</c:v>
                </c:pt>
                <c:pt idx="2">
                  <c:v>-1.0034954156574254</c:v>
                </c:pt>
                <c:pt idx="3">
                  <c:v>-0.96151574170430476</c:v>
                </c:pt>
                <c:pt idx="4">
                  <c:v>-0.95174252312817476</c:v>
                </c:pt>
                <c:pt idx="5">
                  <c:v>-0.95924160985139728</c:v>
                </c:pt>
                <c:pt idx="6">
                  <c:v>-0.95701370752379877</c:v>
                </c:pt>
                <c:pt idx="7">
                  <c:v>-0.96628905246050145</c:v>
                </c:pt>
                <c:pt idx="8">
                  <c:v>-0.96784653696194511</c:v>
                </c:pt>
                <c:pt idx="9">
                  <c:v>-0.9798491114600032</c:v>
                </c:pt>
                <c:pt idx="10">
                  <c:v>-0.98155462911251512</c:v>
                </c:pt>
                <c:pt idx="11">
                  <c:v>-0.99627638194016555</c:v>
                </c:pt>
                <c:pt idx="12">
                  <c:v>-0.97143105885219339</c:v>
                </c:pt>
                <c:pt idx="13">
                  <c:v>-0.96941668107431012</c:v>
                </c:pt>
                <c:pt idx="14">
                  <c:v>#N/A</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#N/A</c:v>
                </c:pt>
                <c:pt idx="1">
                  <c:v>#N/A</c:v>
                </c:pt>
                <c:pt idx="2">
                  <c:v>-0.71232941443390496</c:v>
                </c:pt>
                <c:pt idx="3">
                  <c:v>-0.21902445266843071</c:v>
                </c:pt>
                <c:pt idx="4">
                  <c:v>7.9910046872557747E-2</c:v>
                </c:pt>
                <c:pt idx="5">
                  <c:v>-0.58208259832887965</c:v>
                </c:pt>
                <c:pt idx="6">
                  <c:v>-0.59728722957036773</c:v>
                </c:pt>
                <c:pt idx="7">
                  <c:v>-0.71024726659765292</c:v>
                </c:pt>
                <c:pt idx="8">
                  <c:v>-1.023059727782039</c:v>
                </c:pt>
                <c:pt idx="9">
                  <c:v>-0.30249175487778357</c:v>
                </c:pt>
                <c:pt idx="10">
                  <c:v>-7.9225599444692929E-2</c:v>
                </c:pt>
                <c:pt idx="11">
                  <c:v>-1.2955591190542399</c:v>
                </c:pt>
                <c:pt idx="12">
                  <c:v>-1.2866694517294326</c:v>
                </c:pt>
                <c:pt idx="13">
                  <c:v>-1.5317121002286063</c:v>
                </c:pt>
                <c:pt idx="14">
                  <c:v>#N/A</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2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rabiaabrar/Downloads/HPI%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 data"/>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tabSelected="1" zoomScale="85" zoomScaleNormal="85" workbookViewId="0"/>
  </sheetViews>
  <sheetFormatPr defaultColWidth="8.85546875" defaultRowHeight="18"/>
  <cols>
    <col min="1" max="1" width="3.7109375" style="121" customWidth="1"/>
    <col min="2" max="2" width="9.7109375" style="121" customWidth="1"/>
    <col min="3" max="4" width="8.85546875" style="121"/>
    <col min="5" max="5" width="15.140625" style="121" customWidth="1"/>
    <col min="6" max="6" width="9.140625" style="121" customWidth="1"/>
    <col min="7" max="7" width="3.85546875" style="121" customWidth="1"/>
    <col min="8" max="8" width="8.85546875" style="121" customWidth="1"/>
    <col min="9" max="20" width="8.85546875" style="121"/>
    <col min="21" max="21" width="12.85546875" style="121" customWidth="1"/>
    <col min="22" max="16384" width="8.85546875" style="121"/>
  </cols>
  <sheetData>
    <row r="1" spans="1:23" ht="18.75" thickBot="1">
      <c r="A1" s="26"/>
      <c r="B1" s="26"/>
      <c r="C1" s="26"/>
      <c r="D1" s="26"/>
      <c r="E1" s="26"/>
      <c r="F1" s="26"/>
      <c r="G1" s="26"/>
      <c r="H1" s="26"/>
      <c r="I1" s="26"/>
      <c r="J1" s="26"/>
      <c r="K1" s="26"/>
      <c r="L1" s="26"/>
      <c r="M1" s="26"/>
      <c r="N1" s="26"/>
      <c r="O1" s="26"/>
      <c r="P1" s="26"/>
      <c r="Q1" s="26"/>
      <c r="R1" s="26"/>
      <c r="S1" s="26"/>
      <c r="T1" s="26"/>
      <c r="U1" s="26"/>
      <c r="V1" s="26"/>
      <c r="W1" s="26"/>
    </row>
    <row r="2" spans="1:23">
      <c r="A2" s="26"/>
      <c r="B2" s="22"/>
      <c r="C2" s="23"/>
      <c r="D2" s="23"/>
      <c r="E2" s="23"/>
      <c r="F2" s="23"/>
      <c r="G2" s="23"/>
      <c r="H2" s="23"/>
      <c r="I2" s="23"/>
      <c r="J2" s="23"/>
      <c r="K2" s="23"/>
      <c r="L2" s="23"/>
      <c r="M2" s="23"/>
      <c r="N2" s="23"/>
      <c r="O2" s="23"/>
      <c r="P2" s="23"/>
      <c r="Q2" s="23"/>
      <c r="R2" s="23"/>
      <c r="S2" s="23"/>
      <c r="T2" s="23"/>
      <c r="U2" s="24"/>
      <c r="V2" s="26"/>
      <c r="W2" s="26"/>
    </row>
    <row r="3" spans="1:23">
      <c r="A3" s="26"/>
      <c r="B3" s="25"/>
      <c r="C3" s="26"/>
      <c r="D3" s="26"/>
      <c r="E3" s="26"/>
      <c r="F3" s="26"/>
      <c r="G3" s="26"/>
      <c r="H3" s="27"/>
      <c r="I3" s="26"/>
      <c r="J3" s="26"/>
      <c r="K3" s="26"/>
      <c r="L3" s="26"/>
      <c r="M3" s="26"/>
      <c r="N3" s="26"/>
      <c r="O3" s="26"/>
      <c r="P3" s="26"/>
      <c r="Q3" s="26"/>
      <c r="R3" s="26"/>
      <c r="S3" s="26"/>
      <c r="T3" s="26"/>
      <c r="U3" s="28"/>
      <c r="V3" s="26"/>
      <c r="W3" s="26"/>
    </row>
    <row r="4" spans="1:23">
      <c r="A4" s="26"/>
      <c r="B4" s="25"/>
      <c r="D4" s="26"/>
      <c r="E4" s="26"/>
      <c r="F4" s="26"/>
      <c r="G4" s="26"/>
      <c r="H4" s="27"/>
      <c r="I4" s="26"/>
      <c r="J4" s="26"/>
      <c r="K4" s="26"/>
      <c r="L4" s="26"/>
      <c r="M4" s="26"/>
      <c r="N4" s="26"/>
      <c r="O4" s="26"/>
      <c r="P4" s="26"/>
      <c r="Q4" s="26"/>
      <c r="R4" s="26"/>
      <c r="S4" s="26"/>
      <c r="T4" s="26"/>
      <c r="U4" s="28"/>
      <c r="V4" s="26"/>
      <c r="W4" s="26"/>
    </row>
    <row r="5" spans="1:23">
      <c r="A5" s="26"/>
      <c r="B5" s="25"/>
      <c r="C5" s="26"/>
      <c r="D5" s="26"/>
      <c r="E5" s="26"/>
      <c r="F5" s="26"/>
      <c r="G5" s="26"/>
      <c r="H5" s="27"/>
      <c r="I5" s="26"/>
      <c r="J5" s="26"/>
      <c r="K5" s="26"/>
      <c r="L5" s="26"/>
      <c r="M5" s="26"/>
      <c r="N5" s="26"/>
      <c r="O5" s="26"/>
      <c r="P5" s="26"/>
      <c r="Q5" s="26"/>
      <c r="R5" s="26"/>
      <c r="S5" s="26"/>
      <c r="T5" s="26"/>
      <c r="U5" s="28"/>
      <c r="V5" s="26"/>
      <c r="W5" s="26"/>
    </row>
    <row r="6" spans="1:23">
      <c r="A6" s="26"/>
      <c r="B6" s="25"/>
      <c r="C6" s="26"/>
      <c r="D6" s="26"/>
      <c r="E6" s="26"/>
      <c r="F6" s="26"/>
      <c r="G6" s="26"/>
      <c r="H6" s="26"/>
      <c r="I6" s="26"/>
      <c r="J6" s="26"/>
      <c r="K6" s="26"/>
      <c r="L6" s="26"/>
      <c r="M6" s="26"/>
      <c r="N6" s="26"/>
      <c r="O6" s="26"/>
      <c r="P6" s="26"/>
      <c r="Q6" s="26"/>
      <c r="R6" s="26"/>
      <c r="S6" s="26"/>
      <c r="T6" s="26"/>
      <c r="U6" s="28"/>
      <c r="V6" s="26"/>
      <c r="W6" s="26"/>
    </row>
    <row r="7" spans="1:23" ht="51" customHeight="1">
      <c r="A7" s="26"/>
      <c r="B7" s="25"/>
      <c r="C7" s="26"/>
      <c r="D7" s="26"/>
      <c r="E7" s="26"/>
      <c r="F7" s="26"/>
      <c r="G7" s="26"/>
      <c r="H7" s="26"/>
      <c r="I7" s="26"/>
      <c r="J7" s="26"/>
      <c r="K7" s="26"/>
      <c r="L7" s="26"/>
      <c r="M7" s="26"/>
      <c r="N7" s="26"/>
      <c r="O7" s="26"/>
      <c r="P7" s="26"/>
      <c r="Q7" s="26"/>
      <c r="R7" s="26"/>
      <c r="S7" s="26"/>
      <c r="T7" s="26"/>
      <c r="U7" s="28"/>
      <c r="V7" s="26"/>
      <c r="W7" s="26"/>
    </row>
    <row r="8" spans="1:23" ht="26.25">
      <c r="A8" s="26"/>
      <c r="B8" s="25"/>
      <c r="C8" s="186" t="s">
        <v>365</v>
      </c>
      <c r="D8" s="186"/>
      <c r="E8" s="186"/>
      <c r="F8" s="186"/>
      <c r="G8" s="186"/>
      <c r="H8" s="186"/>
      <c r="I8" s="186"/>
      <c r="J8" s="186"/>
      <c r="K8" s="30" t="s">
        <v>363</v>
      </c>
      <c r="L8" s="29"/>
      <c r="M8" s="29"/>
      <c r="N8" s="29"/>
      <c r="P8" s="29"/>
      <c r="Q8" s="29"/>
      <c r="R8" s="29"/>
      <c r="S8" s="29"/>
      <c r="T8" s="29"/>
      <c r="U8" s="28"/>
      <c r="V8" s="26"/>
      <c r="W8" s="26"/>
    </row>
    <row r="9" spans="1:23">
      <c r="A9" s="26"/>
      <c r="B9" s="25"/>
      <c r="C9" s="31"/>
      <c r="D9" s="31"/>
      <c r="E9" s="31"/>
      <c r="F9" s="31"/>
      <c r="G9" s="31"/>
      <c r="H9" s="31"/>
      <c r="I9" s="31"/>
      <c r="J9" s="31"/>
      <c r="K9" s="31"/>
      <c r="L9" s="31"/>
      <c r="M9" s="31"/>
      <c r="N9" s="31"/>
      <c r="O9" s="31"/>
      <c r="P9" s="31"/>
      <c r="Q9" s="31"/>
      <c r="R9" s="31"/>
      <c r="S9" s="31"/>
      <c r="T9" s="31"/>
      <c r="U9" s="28"/>
      <c r="V9" s="26"/>
      <c r="W9" s="26"/>
    </row>
    <row r="10" spans="1:23">
      <c r="A10" s="26"/>
      <c r="B10" s="25"/>
      <c r="C10" s="31" t="s">
        <v>384</v>
      </c>
      <c r="D10" s="31"/>
      <c r="E10" s="31"/>
      <c r="F10" s="31"/>
      <c r="G10" s="31"/>
      <c r="H10" s="31"/>
      <c r="I10" s="31"/>
      <c r="J10" s="31"/>
      <c r="K10" s="31"/>
      <c r="L10" s="31"/>
      <c r="M10" s="31"/>
      <c r="N10" s="31"/>
      <c r="O10" s="31"/>
      <c r="P10" s="31"/>
      <c r="Q10" s="31"/>
      <c r="R10" s="31"/>
      <c r="S10" s="31"/>
      <c r="T10" s="31"/>
      <c r="U10" s="28"/>
      <c r="V10" s="26"/>
      <c r="W10" s="26"/>
    </row>
    <row r="11" spans="1:23">
      <c r="A11" s="26"/>
      <c r="B11" s="25"/>
      <c r="C11" s="31"/>
      <c r="D11" s="31"/>
      <c r="E11" s="31"/>
      <c r="F11" s="31"/>
      <c r="G11" s="31"/>
      <c r="H11" s="31"/>
      <c r="I11" s="31"/>
      <c r="J11" s="31"/>
      <c r="K11" s="31"/>
      <c r="L11" s="31"/>
      <c r="M11" s="31"/>
      <c r="N11" s="31"/>
      <c r="O11" s="31"/>
      <c r="P11" s="31"/>
      <c r="Q11" s="31"/>
      <c r="R11" s="31"/>
      <c r="S11" s="31"/>
      <c r="T11" s="31"/>
      <c r="U11" s="28"/>
      <c r="V11" s="26"/>
      <c r="W11" s="26"/>
    </row>
    <row r="12" spans="1:23">
      <c r="A12" s="26"/>
      <c r="B12" s="25"/>
      <c r="C12" s="32" t="s">
        <v>364</v>
      </c>
      <c r="D12" s="26"/>
      <c r="E12" s="26"/>
      <c r="F12" s="26"/>
      <c r="G12" s="26"/>
      <c r="H12" s="26"/>
      <c r="I12" s="26"/>
      <c r="J12" s="26"/>
      <c r="K12" s="26"/>
      <c r="L12" s="26"/>
      <c r="M12" s="26"/>
      <c r="N12" s="26"/>
      <c r="O12" s="26"/>
      <c r="P12" s="26"/>
      <c r="Q12" s="26"/>
      <c r="R12" s="26"/>
      <c r="S12" s="26"/>
      <c r="T12" s="26"/>
      <c r="U12" s="28"/>
      <c r="V12" s="26"/>
      <c r="W12" s="26"/>
    </row>
    <row r="13" spans="1:23">
      <c r="A13" s="26"/>
      <c r="B13" s="25"/>
      <c r="C13" s="26"/>
      <c r="D13" s="26"/>
      <c r="E13" s="26"/>
      <c r="F13" s="26"/>
      <c r="G13" s="26"/>
      <c r="H13" s="26"/>
      <c r="I13" s="26"/>
      <c r="J13" s="26"/>
      <c r="K13" s="26"/>
      <c r="L13" s="26"/>
      <c r="M13" s="26"/>
      <c r="N13" s="26"/>
      <c r="O13" s="26"/>
      <c r="P13" s="26"/>
      <c r="Q13" s="26"/>
      <c r="R13" s="26"/>
      <c r="S13" s="26"/>
      <c r="T13" s="26"/>
      <c r="U13" s="28"/>
      <c r="V13" s="26"/>
      <c r="W13" s="26"/>
    </row>
    <row r="14" spans="1:23" ht="18" customHeight="1">
      <c r="A14" s="26"/>
      <c r="B14" s="25"/>
      <c r="C14" s="119" t="s">
        <v>385</v>
      </c>
      <c r="E14" s="33"/>
      <c r="F14" s="33"/>
      <c r="G14" s="120" t="s">
        <v>387</v>
      </c>
      <c r="H14" s="33"/>
      <c r="I14" s="33"/>
      <c r="J14" s="33"/>
      <c r="K14" s="33"/>
      <c r="L14" s="33"/>
      <c r="M14" s="33"/>
      <c r="N14" s="33"/>
      <c r="O14" s="33"/>
      <c r="P14" s="33"/>
      <c r="Q14" s="33"/>
      <c r="R14" s="33"/>
      <c r="S14" s="33"/>
      <c r="T14" s="33"/>
      <c r="U14" s="28"/>
      <c r="V14" s="26"/>
      <c r="W14" s="26"/>
    </row>
    <row r="15" spans="1:23" ht="18" customHeight="1">
      <c r="A15" s="26"/>
      <c r="B15" s="25"/>
      <c r="C15" s="119" t="s">
        <v>386</v>
      </c>
      <c r="E15" s="33"/>
      <c r="F15" s="33"/>
      <c r="G15" s="120" t="s">
        <v>388</v>
      </c>
      <c r="H15" s="33"/>
      <c r="I15" s="33"/>
      <c r="J15" s="33"/>
      <c r="K15" s="33"/>
      <c r="L15" s="33"/>
      <c r="M15" s="33"/>
      <c r="N15" s="33"/>
      <c r="O15" s="33"/>
      <c r="P15" s="33"/>
      <c r="Q15" s="33"/>
      <c r="R15" s="33"/>
      <c r="S15" s="33"/>
      <c r="T15" s="33"/>
      <c r="U15" s="28"/>
      <c r="V15" s="26"/>
      <c r="W15" s="26"/>
    </row>
    <row r="16" spans="1:23">
      <c r="A16" s="26"/>
      <c r="B16" s="25"/>
      <c r="C16" s="119" t="s">
        <v>393</v>
      </c>
      <c r="E16" s="26"/>
      <c r="F16" s="26"/>
      <c r="G16" s="120" t="s">
        <v>395</v>
      </c>
      <c r="H16" s="26"/>
      <c r="I16" s="26"/>
      <c r="J16" s="26"/>
      <c r="K16" s="26"/>
      <c r="L16" s="26"/>
      <c r="M16" s="26"/>
      <c r="N16" s="26"/>
      <c r="O16" s="26"/>
      <c r="P16" s="26"/>
      <c r="Q16" s="26"/>
      <c r="R16" s="26"/>
      <c r="S16" s="26"/>
      <c r="T16" s="26"/>
      <c r="U16" s="28"/>
      <c r="V16" s="26"/>
      <c r="W16" s="26"/>
    </row>
    <row r="17" spans="1:23">
      <c r="A17" s="26"/>
      <c r="B17" s="25"/>
      <c r="C17" s="119" t="s">
        <v>392</v>
      </c>
      <c r="E17" s="26"/>
      <c r="F17" s="26"/>
      <c r="G17" s="120" t="s">
        <v>394</v>
      </c>
      <c r="H17" s="26"/>
      <c r="I17" s="26"/>
      <c r="J17" s="26"/>
      <c r="K17" s="26"/>
      <c r="L17" s="26"/>
      <c r="M17" s="26"/>
      <c r="N17" s="26"/>
      <c r="O17" s="26"/>
      <c r="P17" s="26"/>
      <c r="Q17" s="26"/>
      <c r="R17" s="26"/>
      <c r="S17" s="26"/>
      <c r="T17" s="26"/>
      <c r="U17" s="28"/>
      <c r="V17" s="26"/>
      <c r="W17" s="26"/>
    </row>
    <row r="18" spans="1:23">
      <c r="A18" s="26"/>
      <c r="B18" s="25"/>
      <c r="C18" s="119" t="s">
        <v>466</v>
      </c>
      <c r="E18" s="26"/>
      <c r="F18" s="26"/>
      <c r="G18" s="120" t="s">
        <v>398</v>
      </c>
      <c r="H18" s="26"/>
      <c r="I18" s="26"/>
      <c r="J18" s="26"/>
      <c r="K18" s="26"/>
      <c r="L18" s="26"/>
      <c r="M18" s="26"/>
      <c r="N18" s="26"/>
      <c r="O18" s="26"/>
      <c r="P18" s="26"/>
      <c r="Q18" s="26"/>
      <c r="R18" s="26"/>
      <c r="S18" s="26"/>
      <c r="T18" s="26"/>
      <c r="U18" s="28"/>
      <c r="V18" s="26"/>
      <c r="W18" s="26"/>
    </row>
    <row r="19" spans="1:23">
      <c r="A19" s="26"/>
      <c r="B19" s="25"/>
      <c r="C19" s="119" t="s">
        <v>396</v>
      </c>
      <c r="E19" s="26"/>
      <c r="F19" s="26"/>
      <c r="G19" s="120" t="s">
        <v>397</v>
      </c>
      <c r="H19" s="26"/>
      <c r="I19" s="26"/>
      <c r="J19" s="26"/>
      <c r="K19" s="26"/>
      <c r="L19" s="26"/>
      <c r="M19" s="26"/>
      <c r="N19" s="26"/>
      <c r="O19" s="26"/>
      <c r="P19" s="26"/>
      <c r="Q19" s="26"/>
      <c r="R19" s="26"/>
      <c r="S19" s="26"/>
      <c r="T19" s="26"/>
      <c r="U19" s="28"/>
      <c r="V19" s="26"/>
      <c r="W19" s="26"/>
    </row>
    <row r="20" spans="1:23">
      <c r="A20" s="26"/>
      <c r="B20" s="25"/>
      <c r="C20" s="119" t="s">
        <v>459</v>
      </c>
      <c r="E20" s="26"/>
      <c r="F20" s="26"/>
      <c r="G20" s="120" t="s">
        <v>460</v>
      </c>
      <c r="H20" s="26"/>
      <c r="I20" s="26"/>
      <c r="J20" s="26"/>
      <c r="K20" s="26"/>
      <c r="L20" s="26"/>
      <c r="M20" s="26"/>
      <c r="N20" s="26"/>
      <c r="O20" s="26"/>
      <c r="P20" s="26"/>
      <c r="Q20" s="26"/>
      <c r="R20" s="26"/>
      <c r="S20" s="26"/>
      <c r="T20" s="26"/>
      <c r="U20" s="28"/>
      <c r="V20" s="26"/>
      <c r="W20" s="26"/>
    </row>
    <row r="21" spans="1:23" ht="24.95" customHeight="1">
      <c r="A21" s="26"/>
      <c r="B21" s="25"/>
      <c r="C21" s="119" t="s">
        <v>461</v>
      </c>
      <c r="E21" s="33"/>
      <c r="F21" s="33"/>
      <c r="G21" s="120" t="s">
        <v>362</v>
      </c>
      <c r="H21" s="33"/>
      <c r="I21" s="33"/>
      <c r="J21" s="33"/>
      <c r="K21" s="33"/>
      <c r="L21" s="33"/>
      <c r="M21" s="33"/>
      <c r="N21" s="33"/>
      <c r="O21" s="33"/>
      <c r="P21" s="33"/>
      <c r="Q21" s="33"/>
      <c r="R21" s="33"/>
      <c r="S21" s="33"/>
      <c r="T21" s="33"/>
      <c r="U21" s="28"/>
      <c r="V21" s="26"/>
      <c r="W21" s="26"/>
    </row>
    <row r="22" spans="1:23" ht="60" customHeight="1">
      <c r="A22" s="26"/>
      <c r="B22" s="25"/>
      <c r="C22" s="187" t="s">
        <v>391</v>
      </c>
      <c r="D22" s="187"/>
      <c r="E22" s="187"/>
      <c r="F22" s="187"/>
      <c r="G22" s="187"/>
      <c r="H22" s="187"/>
      <c r="I22" s="187"/>
      <c r="J22" s="187"/>
      <c r="K22" s="187"/>
      <c r="L22" s="187"/>
      <c r="M22" s="187"/>
      <c r="N22" s="187"/>
      <c r="O22" s="187"/>
      <c r="P22" s="34"/>
      <c r="Q22" s="34"/>
      <c r="R22" s="34"/>
      <c r="S22" s="34"/>
      <c r="T22" s="34"/>
      <c r="U22" s="28"/>
      <c r="V22" s="26"/>
      <c r="W22" s="26"/>
    </row>
    <row r="23" spans="1:23" ht="18.75">
      <c r="A23" s="26"/>
      <c r="B23" s="35"/>
      <c r="C23" s="36"/>
      <c r="D23" s="31"/>
      <c r="E23" s="31"/>
      <c r="F23" s="31"/>
      <c r="G23" s="31"/>
      <c r="H23" s="37"/>
      <c r="I23" s="26"/>
      <c r="J23" s="26"/>
      <c r="K23" s="26"/>
      <c r="L23" s="26"/>
      <c r="M23" s="26"/>
      <c r="N23" s="26"/>
      <c r="O23" s="26"/>
      <c r="P23" s="26"/>
      <c r="Q23" s="26"/>
      <c r="R23" s="26"/>
      <c r="S23" s="26"/>
      <c r="T23" s="26"/>
      <c r="U23" s="28"/>
      <c r="V23" s="26"/>
      <c r="W23" s="26"/>
    </row>
    <row r="24" spans="1:23">
      <c r="A24" s="26"/>
      <c r="B24" s="35"/>
      <c r="C24" s="29" t="s">
        <v>380</v>
      </c>
      <c r="D24" s="31"/>
      <c r="E24" s="31"/>
      <c r="F24" s="31"/>
      <c r="G24" s="31"/>
      <c r="H24" s="38"/>
      <c r="I24" s="26"/>
      <c r="J24" s="26"/>
      <c r="K24" s="26"/>
      <c r="L24" s="26"/>
      <c r="M24" s="26"/>
      <c r="N24" s="26"/>
      <c r="O24" s="26"/>
      <c r="P24" s="26"/>
      <c r="Q24" s="26"/>
      <c r="R24" s="26"/>
      <c r="S24" s="26"/>
      <c r="T24" s="26"/>
      <c r="U24" s="28"/>
      <c r="V24" s="26"/>
      <c r="W24" s="26"/>
    </row>
    <row r="25" spans="1:23">
      <c r="A25" s="26"/>
      <c r="B25" s="35"/>
      <c r="C25" s="117" t="s">
        <v>381</v>
      </c>
      <c r="D25" s="31"/>
      <c r="E25" s="31"/>
      <c r="F25" s="31"/>
      <c r="G25" s="31"/>
      <c r="H25" s="38"/>
      <c r="I25" s="26"/>
      <c r="J25" s="26"/>
      <c r="K25" s="26"/>
      <c r="L25" s="26"/>
      <c r="M25" s="26"/>
      <c r="N25" s="26"/>
      <c r="O25" s="26"/>
      <c r="P25" s="26"/>
      <c r="Q25" s="26"/>
      <c r="R25" s="26"/>
      <c r="S25" s="26"/>
      <c r="T25" s="26"/>
      <c r="U25" s="28"/>
      <c r="V25" s="26"/>
      <c r="W25" s="26"/>
    </row>
    <row r="26" spans="1:23">
      <c r="A26" s="26"/>
      <c r="B26" s="35"/>
      <c r="C26" s="31" t="s">
        <v>382</v>
      </c>
      <c r="D26" s="31"/>
      <c r="E26" s="31"/>
      <c r="F26" s="31"/>
      <c r="G26" s="31"/>
      <c r="H26" s="38"/>
      <c r="I26" s="26"/>
      <c r="J26" s="26"/>
      <c r="K26" s="26"/>
      <c r="L26" s="26"/>
      <c r="M26" s="26"/>
      <c r="N26" s="26"/>
      <c r="O26" s="26"/>
      <c r="P26" s="26"/>
      <c r="Q26" s="26"/>
      <c r="R26" s="26"/>
      <c r="S26" s="26"/>
      <c r="T26" s="26"/>
      <c r="U26" s="28"/>
      <c r="V26" s="26"/>
      <c r="W26" s="26"/>
    </row>
    <row r="27" spans="1:23">
      <c r="A27" s="26"/>
      <c r="B27" s="35"/>
      <c r="C27" s="118" t="s">
        <v>383</v>
      </c>
      <c r="D27" s="31"/>
      <c r="E27" s="31"/>
      <c r="F27" s="31"/>
      <c r="G27" s="31"/>
      <c r="H27" s="38"/>
      <c r="I27" s="26"/>
      <c r="J27" s="26"/>
      <c r="K27" s="26"/>
      <c r="L27" s="26"/>
      <c r="M27" s="26"/>
      <c r="N27" s="26"/>
      <c r="O27" s="26"/>
      <c r="P27" s="26"/>
      <c r="Q27" s="26"/>
      <c r="R27" s="26"/>
      <c r="S27" s="26"/>
      <c r="T27" s="26"/>
      <c r="U27" s="28"/>
      <c r="V27" s="26"/>
      <c r="W27" s="26"/>
    </row>
    <row r="28" spans="1:23" ht="18.75" thickBot="1">
      <c r="A28" s="26"/>
      <c r="B28" s="39"/>
      <c r="C28" s="40"/>
      <c r="D28" s="40"/>
      <c r="E28" s="40"/>
      <c r="F28" s="40"/>
      <c r="G28" s="40"/>
      <c r="H28" s="41"/>
      <c r="I28" s="40"/>
      <c r="J28" s="40"/>
      <c r="K28" s="40"/>
      <c r="L28" s="40"/>
      <c r="M28" s="40"/>
      <c r="N28" s="40"/>
      <c r="O28" s="40"/>
      <c r="P28" s="40"/>
      <c r="Q28" s="40"/>
      <c r="R28" s="40"/>
      <c r="S28" s="40"/>
      <c r="T28" s="40"/>
      <c r="U28" s="42"/>
      <c r="V28" s="26"/>
      <c r="W28" s="26"/>
    </row>
    <row r="29" spans="1:23">
      <c r="A29" s="26"/>
      <c r="B29" s="26"/>
      <c r="C29" s="26"/>
      <c r="D29" s="26"/>
      <c r="E29" s="26"/>
      <c r="F29" s="26"/>
      <c r="G29" s="26"/>
      <c r="H29" s="26"/>
      <c r="I29" s="26"/>
      <c r="J29" s="26"/>
      <c r="K29" s="26"/>
      <c r="L29" s="26"/>
      <c r="M29" s="26"/>
      <c r="N29" s="26"/>
      <c r="O29" s="26"/>
      <c r="P29" s="26"/>
      <c r="Q29" s="26"/>
      <c r="R29" s="26"/>
      <c r="S29" s="26"/>
      <c r="T29" s="26"/>
      <c r="U29" s="26"/>
      <c r="V29" s="26"/>
      <c r="W29" s="26"/>
    </row>
    <row r="30" spans="1:23">
      <c r="A30" s="26"/>
      <c r="B30" s="26"/>
      <c r="C30" s="26"/>
      <c r="D30" s="26"/>
      <c r="E30" s="26"/>
      <c r="F30" s="26"/>
      <c r="G30" s="26"/>
      <c r="H30" s="26"/>
      <c r="I30" s="26"/>
      <c r="J30" s="26"/>
      <c r="K30" s="26"/>
      <c r="L30" s="26"/>
      <c r="M30" s="26"/>
      <c r="N30" s="26"/>
      <c r="O30" s="26"/>
      <c r="P30" s="26"/>
      <c r="Q30" s="26"/>
      <c r="R30" s="26"/>
      <c r="S30" s="26"/>
      <c r="T30" s="26"/>
      <c r="U30" s="26"/>
      <c r="V30" s="26"/>
      <c r="W30" s="26"/>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zoomScale="85" zoomScaleNormal="85" workbookViewId="0">
      <pane ySplit="9" topLeftCell="A10" activePane="bottomLeft" state="frozen"/>
      <selection pane="bottomLeft" activeCell="I131" sqref="I131"/>
    </sheetView>
  </sheetViews>
  <sheetFormatPr defaultColWidth="8.85546875" defaultRowHeight="15"/>
  <cols>
    <col min="1" max="1" width="9.7109375" style="45" customWidth="1"/>
    <col min="2" max="2" width="23" style="45" customWidth="1"/>
    <col min="3" max="3" width="10.140625" style="45" customWidth="1"/>
    <col min="4" max="4" width="9.140625" style="45" hidden="1" customWidth="1"/>
    <col min="5" max="5" width="12.42578125" style="45" customWidth="1"/>
    <col min="6" max="6" width="14.7109375" style="45" customWidth="1"/>
    <col min="7" max="7" width="19.140625" style="108" customWidth="1"/>
    <col min="8" max="8" width="19.140625" style="45" customWidth="1"/>
    <col min="9" max="9" width="23" style="45" customWidth="1"/>
    <col min="10" max="10" width="11" style="43" customWidth="1"/>
    <col min="11" max="11" width="14.140625" style="45" customWidth="1"/>
    <col min="12" max="12" width="12.42578125" style="45" customWidth="1"/>
    <col min="13" max="16384" width="8.85546875" style="45"/>
  </cols>
  <sheetData>
    <row r="1" spans="1:12" s="87" customFormat="1" ht="26.25">
      <c r="B1" s="90" t="s">
        <v>370</v>
      </c>
    </row>
    <row r="2" spans="1:12" ht="14.25">
      <c r="A2" s="188" t="s">
        <v>389</v>
      </c>
      <c r="B2" s="188"/>
      <c r="C2" s="188"/>
      <c r="D2" s="188"/>
      <c r="E2" s="188"/>
      <c r="F2" s="188"/>
      <c r="G2" s="188"/>
      <c r="H2" s="188"/>
      <c r="I2" s="188"/>
      <c r="J2" s="188"/>
      <c r="K2" s="188"/>
      <c r="L2" s="188"/>
    </row>
    <row r="3" spans="1:12" ht="39.950000000000003" customHeight="1">
      <c r="A3" s="188"/>
      <c r="B3" s="188"/>
      <c r="C3" s="188"/>
      <c r="D3" s="188"/>
      <c r="E3" s="188"/>
      <c r="F3" s="188"/>
      <c r="G3" s="188"/>
      <c r="H3" s="188"/>
      <c r="I3" s="188"/>
      <c r="J3" s="188"/>
      <c r="K3" s="188"/>
      <c r="L3" s="188"/>
    </row>
    <row r="4" spans="1:12" ht="18">
      <c r="B4" s="21"/>
      <c r="G4" s="45"/>
      <c r="J4" s="45"/>
    </row>
    <row r="5" spans="1:12" s="94" customFormat="1" ht="20.25">
      <c r="A5" s="91" t="s">
        <v>358</v>
      </c>
      <c r="B5" s="92"/>
      <c r="C5" s="93">
        <v>2019</v>
      </c>
      <c r="G5" s="95"/>
      <c r="J5" s="109" t="s">
        <v>373</v>
      </c>
    </row>
    <row r="6" spans="1:12" s="94" customFormat="1" ht="20.25">
      <c r="A6" s="91" t="s">
        <v>360</v>
      </c>
      <c r="B6" s="92"/>
      <c r="C6" s="96"/>
      <c r="D6" s="92"/>
      <c r="E6" s="92"/>
      <c r="F6" s="92"/>
      <c r="G6" s="92"/>
      <c r="H6" s="92"/>
      <c r="J6" s="110" t="s">
        <v>371</v>
      </c>
    </row>
    <row r="7" spans="1:12" s="94" customFormat="1" ht="20.25">
      <c r="J7" s="111" t="s">
        <v>372</v>
      </c>
    </row>
    <row r="8" spans="1:12" customFormat="1">
      <c r="G8" s="10"/>
      <c r="J8" s="1"/>
    </row>
    <row r="9" spans="1:12" ht="52.5" customHeight="1">
      <c r="A9" s="112" t="s">
        <v>2</v>
      </c>
      <c r="B9" s="113" t="s">
        <v>3</v>
      </c>
      <c r="C9" s="113" t="s">
        <v>175</v>
      </c>
      <c r="D9" s="114"/>
      <c r="E9" s="113" t="s">
        <v>157</v>
      </c>
      <c r="F9" s="113" t="s">
        <v>374</v>
      </c>
      <c r="G9" s="113" t="s">
        <v>375</v>
      </c>
      <c r="H9" s="113" t="s">
        <v>376</v>
      </c>
      <c r="I9" s="113" t="s">
        <v>377</v>
      </c>
      <c r="J9" s="115" t="s">
        <v>167</v>
      </c>
      <c r="K9" s="114" t="s">
        <v>378</v>
      </c>
      <c r="L9" s="116" t="s">
        <v>379</v>
      </c>
    </row>
    <row r="10" spans="1:12">
      <c r="A10" s="97">
        <f t="shared" ref="A10:A41" si="0">IFERROR(RANK(J10,$J$10:$J$161),"")</f>
        <v>1</v>
      </c>
      <c r="B10" s="56" t="s">
        <v>4</v>
      </c>
      <c r="C10" s="56" t="str">
        <f>VLOOKUP(B10,'country codes'!$A$3:$B$287,2,0)</f>
        <v>CRI</v>
      </c>
      <c r="D10" s="98" t="str">
        <f t="shared" ref="D10:D41" si="1">$C$5&amp;C10</f>
        <v>2019CRI</v>
      </c>
      <c r="E10" s="56">
        <v>1</v>
      </c>
      <c r="F10" s="63">
        <f>VLOOKUP($D10,'All data'!$E$2:$M$2281,2,0)</f>
        <v>5047.5609999999997</v>
      </c>
      <c r="G10" s="63">
        <f>VLOOKUP($D10,'All data'!$E$2:$M$2281,4,0)</f>
        <v>80.3</v>
      </c>
      <c r="H10" s="64">
        <f>VLOOKUP($D10,'All data'!$E$2:$M$2281,5,0)</f>
        <v>6.9976186752319336</v>
      </c>
      <c r="I10" s="64">
        <f>VLOOKUP($D10,'All data'!$E$2:$M$2281,6,0)</f>
        <v>2.648522265553356</v>
      </c>
      <c r="J10" s="99">
        <f>VLOOKUP($D10,'All data'!$E$2:$M$2281,7,0)</f>
        <v>62.057551770146681</v>
      </c>
      <c r="K10" s="56">
        <f>VLOOKUP($C$5,'All data'!$G$2285:$J$2299,4,0)</f>
        <v>1.56</v>
      </c>
      <c r="L10" s="100">
        <f>VLOOKUP($D10,'All data'!$E$2:$M$2281,9,0)</f>
        <v>20296.82150273478</v>
      </c>
    </row>
    <row r="11" spans="1:12">
      <c r="A11" s="97">
        <f t="shared" si="0"/>
        <v>2</v>
      </c>
      <c r="B11" s="56" t="s">
        <v>11</v>
      </c>
      <c r="C11" s="56" t="str">
        <f>VLOOKUP(B11,'country codes'!$A$3:$B$287,2,0)</f>
        <v>VUT</v>
      </c>
      <c r="D11" s="98" t="str">
        <f t="shared" si="1"/>
        <v>2019VUT</v>
      </c>
      <c r="E11" s="56">
        <v>8</v>
      </c>
      <c r="F11" s="63">
        <f>VLOOKUP($D11,'All data'!$E$2:$M$2281,2,0)</f>
        <v>299.88200000000001</v>
      </c>
      <c r="G11" s="63">
        <f>VLOOKUP($D11,'All data'!$E$2:$M$2281,4,0)</f>
        <v>70.5</v>
      </c>
      <c r="H11" s="64">
        <f>VLOOKUP($D11,'All data'!$E$2:$M$2281,5,0)</f>
        <v>6.9556203169964634</v>
      </c>
      <c r="I11" s="64">
        <f>VLOOKUP($D11,'All data'!$E$2:$M$2281,6,0)</f>
        <v>1.6160936601940632</v>
      </c>
      <c r="J11" s="99">
        <f>VLOOKUP($D11,'All data'!$E$2:$M$2281,7,0)</f>
        <v>60.363875808250292</v>
      </c>
      <c r="K11" s="56">
        <f>VLOOKUP($C$5,'All data'!$G$2285:$J$2299,4,0)</f>
        <v>1.56</v>
      </c>
      <c r="L11" s="100">
        <f>VLOOKUP($D11,'All data'!$E$2:$M$2281,9,0)</f>
        <v>3153.0151677584245</v>
      </c>
    </row>
    <row r="12" spans="1:12">
      <c r="A12" s="97">
        <f t="shared" si="0"/>
        <v>3</v>
      </c>
      <c r="B12" s="56" t="s">
        <v>5</v>
      </c>
      <c r="C12" s="56" t="str">
        <f>VLOOKUP(B12,'country codes'!$A$3:$B$287,2,0)</f>
        <v>COL</v>
      </c>
      <c r="D12" s="98" t="str">
        <f t="shared" si="1"/>
        <v>2019COL</v>
      </c>
      <c r="E12" s="56">
        <v>1</v>
      </c>
      <c r="F12" s="63">
        <f>VLOOKUP($D12,'All data'!$E$2:$M$2281,2,0)</f>
        <v>50339.442999999999</v>
      </c>
      <c r="G12" s="63">
        <f>VLOOKUP($D12,'All data'!$E$2:$M$2281,4,0)</f>
        <v>77.3</v>
      </c>
      <c r="H12" s="64">
        <f>VLOOKUP($D12,'All data'!$E$2:$M$2281,5,0)</f>
        <v>6.3502979278564453</v>
      </c>
      <c r="I12" s="64">
        <f>VLOOKUP($D12,'All data'!$E$2:$M$2281,6,0)</f>
        <v>1.904750865111537</v>
      </c>
      <c r="J12" s="99">
        <f>VLOOKUP($D12,'All data'!$E$2:$M$2281,7,0)</f>
        <v>60.165167498468215</v>
      </c>
      <c r="K12" s="56">
        <f>VLOOKUP($C$5,'All data'!$G$2285:$J$2299,4,0)</f>
        <v>1.56</v>
      </c>
      <c r="L12" s="100">
        <f>VLOOKUP($D12,'All data'!$E$2:$M$2281,9,0)</f>
        <v>14624.971296534655</v>
      </c>
    </row>
    <row r="13" spans="1:12">
      <c r="A13" s="97">
        <f t="shared" si="0"/>
        <v>4</v>
      </c>
      <c r="B13" s="56" t="s">
        <v>15</v>
      </c>
      <c r="C13" s="56" t="str">
        <f>VLOOKUP(B13,'country codes'!$A$3:$B$287,2,0)</f>
        <v>CHE</v>
      </c>
      <c r="D13" s="98" t="str">
        <f t="shared" si="1"/>
        <v>2019CHE</v>
      </c>
      <c r="E13" s="56">
        <v>3</v>
      </c>
      <c r="F13" s="63">
        <f>VLOOKUP($D13,'All data'!$E$2:$M$2281,2,0)</f>
        <v>8591.3610000000008</v>
      </c>
      <c r="G13" s="63">
        <f>VLOOKUP($D13,'All data'!$E$2:$M$2281,4,0)</f>
        <v>83.8</v>
      </c>
      <c r="H13" s="64">
        <f>VLOOKUP($D13,'All data'!$E$2:$M$2281,5,0)</f>
        <v>7.694221019744873</v>
      </c>
      <c r="I13" s="64">
        <f>VLOOKUP($D13,'All data'!$E$2:$M$2281,6,0)</f>
        <v>4.1425161151167673</v>
      </c>
      <c r="J13" s="99">
        <f>VLOOKUP($D13,'All data'!$E$2:$M$2281,7,0)</f>
        <v>60.104650343177852</v>
      </c>
      <c r="K13" s="56">
        <f>VLOOKUP($C$5,'All data'!$G$2285:$J$2299,4,0)</f>
        <v>1.56</v>
      </c>
      <c r="L13" s="100">
        <f>VLOOKUP($D13,'All data'!$E$2:$M$2281,9,0)</f>
        <v>68390.712985453865</v>
      </c>
    </row>
    <row r="14" spans="1:12">
      <c r="A14" s="97">
        <f t="shared" si="0"/>
        <v>5</v>
      </c>
      <c r="B14" s="56" t="s">
        <v>6</v>
      </c>
      <c r="C14" s="56" t="str">
        <f>VLOOKUP(B14,'country codes'!$A$3:$B$287,2,0)</f>
        <v>ECU</v>
      </c>
      <c r="D14" s="98" t="str">
        <f t="shared" si="1"/>
        <v>2019ECU</v>
      </c>
      <c r="E14" s="56">
        <v>1</v>
      </c>
      <c r="F14" s="63">
        <f>VLOOKUP($D14,'All data'!$E$2:$M$2281,2,0)</f>
        <v>17373.656999999999</v>
      </c>
      <c r="G14" s="63">
        <f>VLOOKUP($D14,'All data'!$E$2:$M$2281,4,0)</f>
        <v>77</v>
      </c>
      <c r="H14" s="64">
        <f>VLOOKUP($D14,'All data'!$E$2:$M$2281,5,0)</f>
        <v>5.8091311454772949</v>
      </c>
      <c r="I14" s="64">
        <f>VLOOKUP($D14,'All data'!$E$2:$M$2281,6,0)</f>
        <v>1.5070727682958718</v>
      </c>
      <c r="J14" s="99">
        <f>VLOOKUP($D14,'All data'!$E$2:$M$2281,7,0)</f>
        <v>58.831213056003598</v>
      </c>
      <c r="K14" s="56">
        <f>VLOOKUP($C$5,'All data'!$G$2285:$J$2299,4,0)</f>
        <v>1.56</v>
      </c>
      <c r="L14" s="100">
        <f>VLOOKUP($D14,'All data'!$E$2:$M$2281,9,0)</f>
        <v>11375.331184329112</v>
      </c>
    </row>
    <row r="15" spans="1:12">
      <c r="A15" s="97">
        <f t="shared" si="0"/>
        <v>6</v>
      </c>
      <c r="B15" s="56" t="s">
        <v>12</v>
      </c>
      <c r="C15" s="56" t="str">
        <f>VLOOKUP(B15,'country codes'!$A$3:$B$287,2,0)</f>
        <v>PAN</v>
      </c>
      <c r="D15" s="98" t="str">
        <f t="shared" si="1"/>
        <v>2019PAN</v>
      </c>
      <c r="E15" s="56">
        <v>1</v>
      </c>
      <c r="F15" s="63">
        <f>VLOOKUP($D15,'All data'!$E$2:$M$2281,2,0)</f>
        <v>4246.4399999999996</v>
      </c>
      <c r="G15" s="63">
        <f>VLOOKUP($D15,'All data'!$E$2:$M$2281,4,0)</f>
        <v>78.5</v>
      </c>
      <c r="H15" s="64">
        <f>VLOOKUP($D15,'All data'!$E$2:$M$2281,5,0)</f>
        <v>6.0859551429748535</v>
      </c>
      <c r="I15" s="64">
        <f>VLOOKUP($D15,'All data'!$E$2:$M$2281,6,0)</f>
        <v>2.0954971384632843</v>
      </c>
      <c r="J15" s="99">
        <f>VLOOKUP($D15,'All data'!$E$2:$M$2281,7,0)</f>
        <v>57.932169853513031</v>
      </c>
      <c r="K15" s="56">
        <f>VLOOKUP($C$5,'All data'!$G$2285:$J$2299,4,0)</f>
        <v>1.56</v>
      </c>
      <c r="L15" s="100">
        <f>VLOOKUP($D15,'All data'!$E$2:$M$2281,9,0)</f>
        <v>31458.692625521322</v>
      </c>
    </row>
    <row r="16" spans="1:12">
      <c r="A16" s="97">
        <f t="shared" si="0"/>
        <v>7</v>
      </c>
      <c r="B16" s="56" t="s">
        <v>9</v>
      </c>
      <c r="C16" s="56" t="str">
        <f>VLOOKUP(B16,'country codes'!$A$3:$B$287,2,0)</f>
        <v>JAM</v>
      </c>
      <c r="D16" s="98" t="str">
        <f t="shared" si="1"/>
        <v>2019JAM</v>
      </c>
      <c r="E16" s="56">
        <v>1</v>
      </c>
      <c r="F16" s="63">
        <f>VLOOKUP($D16,'All data'!$E$2:$M$2281,2,0)</f>
        <v>2948.277</v>
      </c>
      <c r="G16" s="63">
        <f>VLOOKUP($D16,'All data'!$E$2:$M$2281,4,0)</f>
        <v>74.5</v>
      </c>
      <c r="H16" s="64">
        <f>VLOOKUP($D16,'All data'!$E$2:$M$2281,5,0)</f>
        <v>6.3092389106750488</v>
      </c>
      <c r="I16" s="64">
        <f>VLOOKUP($D16,'All data'!$E$2:$M$2281,6,0)</f>
        <v>1.8401910033217166</v>
      </c>
      <c r="J16" s="99">
        <f>VLOOKUP($D16,'All data'!$E$2:$M$2281,7,0)</f>
        <v>57.903628457473694</v>
      </c>
      <c r="K16" s="56">
        <f>VLOOKUP($C$5,'All data'!$G$2285:$J$2299,4,0)</f>
        <v>1.56</v>
      </c>
      <c r="L16" s="100">
        <f>VLOOKUP($D16,'All data'!$E$2:$M$2281,9,0)</f>
        <v>9761.4985221052757</v>
      </c>
    </row>
    <row r="17" spans="1:12">
      <c r="A17" s="97">
        <f t="shared" si="0"/>
        <v>8</v>
      </c>
      <c r="B17" s="56" t="s">
        <v>8</v>
      </c>
      <c r="C17" s="56" t="str">
        <f>VLOOKUP(B17,'country codes'!$A$3:$B$287,2,0)</f>
        <v>GTM</v>
      </c>
      <c r="D17" s="98" t="str">
        <f t="shared" si="1"/>
        <v>2019GTM</v>
      </c>
      <c r="E17" s="56">
        <v>1</v>
      </c>
      <c r="F17" s="63">
        <f>VLOOKUP($D17,'All data'!$E$2:$M$2281,2,0)</f>
        <v>17581.475999999999</v>
      </c>
      <c r="G17" s="63">
        <f>VLOOKUP($D17,'All data'!$E$2:$M$2281,4,0)</f>
        <v>74.3</v>
      </c>
      <c r="H17" s="64">
        <f>VLOOKUP($D17,'All data'!$E$2:$M$2281,5,0)</f>
        <v>6.2621750831604004</v>
      </c>
      <c r="I17" s="64">
        <f>VLOOKUP($D17,'All data'!$E$2:$M$2281,6,0)</f>
        <v>1.7726290060666812</v>
      </c>
      <c r="J17" s="99">
        <f>VLOOKUP($D17,'All data'!$E$2:$M$2281,7,0)</f>
        <v>57.875552966687394</v>
      </c>
      <c r="K17" s="56">
        <f>VLOOKUP($C$5,'All data'!$G$2285:$J$2299,4,0)</f>
        <v>1.56</v>
      </c>
      <c r="L17" s="100">
        <f>VLOOKUP($D17,'All data'!$E$2:$M$2281,9,0)</f>
        <v>8637.4641653568942</v>
      </c>
    </row>
    <row r="18" spans="1:12">
      <c r="A18" s="97">
        <f t="shared" si="0"/>
        <v>9</v>
      </c>
      <c r="B18" s="56" t="s">
        <v>7</v>
      </c>
      <c r="C18" s="56" t="str">
        <f>VLOOKUP(B18,'country codes'!$A$3:$B$287,2,0)</f>
        <v>HND</v>
      </c>
      <c r="D18" s="98" t="str">
        <f t="shared" si="1"/>
        <v>2019HND</v>
      </c>
      <c r="E18" s="56">
        <v>1</v>
      </c>
      <c r="F18" s="63">
        <f>VLOOKUP($D18,'All data'!$E$2:$M$2281,2,0)</f>
        <v>9746.1149999999998</v>
      </c>
      <c r="G18" s="63">
        <f>VLOOKUP($D18,'All data'!$E$2:$M$2281,4,0)</f>
        <v>75.3</v>
      </c>
      <c r="H18" s="64">
        <f>VLOOKUP($D18,'All data'!$E$2:$M$2281,5,0)</f>
        <v>5.930051326751709</v>
      </c>
      <c r="I18" s="64">
        <f>VLOOKUP($D18,'All data'!$E$2:$M$2281,6,0)</f>
        <v>1.5801074883616955</v>
      </c>
      <c r="J18" s="99">
        <f>VLOOKUP($D18,'All data'!$E$2:$M$2281,7,0)</f>
        <v>57.73411068142665</v>
      </c>
      <c r="K18" s="56">
        <f>VLOOKUP($C$5,'All data'!$G$2285:$J$2299,4,0)</f>
        <v>1.56</v>
      </c>
      <c r="L18" s="100">
        <f>VLOOKUP($D18,'All data'!$E$2:$M$2281,9,0)</f>
        <v>5727.9735722786309</v>
      </c>
    </row>
    <row r="19" spans="1:12">
      <c r="A19" s="97">
        <f t="shared" si="0"/>
        <v>10</v>
      </c>
      <c r="B19" s="56" t="s">
        <v>16</v>
      </c>
      <c r="C19" s="56" t="str">
        <f>VLOOKUP(B19,'country codes'!$A$3:$B$287,2,0)</f>
        <v>URY</v>
      </c>
      <c r="D19" s="98" t="str">
        <f t="shared" si="1"/>
        <v>2019URY</v>
      </c>
      <c r="E19" s="56">
        <v>1</v>
      </c>
      <c r="F19" s="63">
        <f>VLOOKUP($D19,'All data'!$E$2:$M$2281,2,0)</f>
        <v>3461.7310000000002</v>
      </c>
      <c r="G19" s="63">
        <f>VLOOKUP($D19,'All data'!$E$2:$M$2281,4,0)</f>
        <v>77.900000000000006</v>
      </c>
      <c r="H19" s="64">
        <f>VLOOKUP($D19,'All data'!$E$2:$M$2281,5,0)</f>
        <v>6.600337028503418</v>
      </c>
      <c r="I19" s="64">
        <f>VLOOKUP($D19,'All data'!$E$2:$M$2281,6,0)</f>
        <v>2.6218854651389152</v>
      </c>
      <c r="J19" s="99">
        <f>VLOOKUP($D19,'All data'!$E$2:$M$2281,7,0)</f>
        <v>57.530035845343598</v>
      </c>
      <c r="K19" s="56">
        <f>VLOOKUP($C$5,'All data'!$G$2285:$J$2299,4,0)</f>
        <v>1.56</v>
      </c>
      <c r="L19" s="100">
        <f>VLOOKUP($D19,'All data'!$E$2:$M$2281,9,0)</f>
        <v>21561.062054624232</v>
      </c>
    </row>
    <row r="20" spans="1:12">
      <c r="A20" s="97">
        <f t="shared" si="0"/>
        <v>11</v>
      </c>
      <c r="B20" s="56" t="s">
        <v>25</v>
      </c>
      <c r="C20" s="56" t="str">
        <f>VLOOKUP(B20,'country codes'!$A$3:$B$287,2,0)</f>
        <v>NZL</v>
      </c>
      <c r="D20" s="98" t="str">
        <f t="shared" si="1"/>
        <v>2019NZL</v>
      </c>
      <c r="E20" s="56">
        <v>2</v>
      </c>
      <c r="F20" s="63">
        <f>VLOOKUP($D20,'All data'!$E$2:$M$2281,2,0)</f>
        <v>4783.0619999999999</v>
      </c>
      <c r="G20" s="63">
        <f>VLOOKUP($D20,'All data'!$E$2:$M$2281,4,0)</f>
        <v>82.3</v>
      </c>
      <c r="H20" s="64">
        <f>VLOOKUP($D20,'All data'!$E$2:$M$2281,5,0)</f>
        <v>7.205174446105957</v>
      </c>
      <c r="I20" s="64">
        <f>VLOOKUP($D20,'All data'!$E$2:$M$2281,6,0)</f>
        <v>3.8739517081482497</v>
      </c>
      <c r="J20" s="99">
        <f>VLOOKUP($D20,'All data'!$E$2:$M$2281,7,0)</f>
        <v>57.434481308700285</v>
      </c>
      <c r="K20" s="56">
        <f>VLOOKUP($C$5,'All data'!$G$2285:$J$2299,4,0)</f>
        <v>1.56</v>
      </c>
      <c r="L20" s="100">
        <f>VLOOKUP($D20,'All data'!$E$2:$M$2281,9,0)</f>
        <v>43148.446053517087</v>
      </c>
    </row>
    <row r="21" spans="1:12">
      <c r="A21" s="97">
        <f t="shared" si="0"/>
        <v>12</v>
      </c>
      <c r="B21" s="56" t="s">
        <v>10</v>
      </c>
      <c r="C21" s="56" t="str">
        <f>VLOOKUP(B21,'country codes'!$A$3:$B$287,2,0)</f>
        <v>PHL</v>
      </c>
      <c r="D21" s="98" t="str">
        <f t="shared" si="1"/>
        <v>2019PHL</v>
      </c>
      <c r="E21" s="56">
        <v>8</v>
      </c>
      <c r="F21" s="63">
        <f>VLOOKUP($D21,'All data'!$E$2:$M$2281,2,0)</f>
        <v>108116.622</v>
      </c>
      <c r="G21" s="63">
        <f>VLOOKUP($D21,'All data'!$E$2:$M$2281,4,0)</f>
        <v>71.2</v>
      </c>
      <c r="H21" s="64">
        <f>VLOOKUP($D21,'All data'!$E$2:$M$2281,5,0)</f>
        <v>6.2677450180053711</v>
      </c>
      <c r="I21" s="64">
        <f>VLOOKUP($D21,'All data'!$E$2:$M$2281,6,0)</f>
        <v>1.5020254989785518</v>
      </c>
      <c r="J21" s="99">
        <f>VLOOKUP($D21,'All data'!$E$2:$M$2281,7,0)</f>
        <v>57.103218983377133</v>
      </c>
      <c r="K21" s="56">
        <f>VLOOKUP($C$5,'All data'!$G$2285:$J$2299,4,0)</f>
        <v>1.56</v>
      </c>
      <c r="L21" s="100">
        <f>VLOOKUP($D21,'All data'!$E$2:$M$2281,9,0)</f>
        <v>8908.1759769983455</v>
      </c>
    </row>
    <row r="22" spans="1:12">
      <c r="A22" s="97">
        <f t="shared" si="0"/>
        <v>13</v>
      </c>
      <c r="B22" s="56" t="s">
        <v>17</v>
      </c>
      <c r="C22" s="56" t="str">
        <f>VLOOKUP(B22,'country codes'!$A$3:$B$287,2,0)</f>
        <v>SLV</v>
      </c>
      <c r="D22" s="98" t="str">
        <f t="shared" si="1"/>
        <v>2019SLV</v>
      </c>
      <c r="E22" s="56">
        <v>1</v>
      </c>
      <c r="F22" s="63">
        <f>VLOOKUP($D22,'All data'!$E$2:$M$2281,2,0)</f>
        <v>6453.55</v>
      </c>
      <c r="G22" s="63">
        <f>VLOOKUP($D22,'All data'!$E$2:$M$2281,4,0)</f>
        <v>73.3</v>
      </c>
      <c r="H22" s="64">
        <f>VLOOKUP($D22,'All data'!$E$2:$M$2281,5,0)</f>
        <v>6.4548206329345703</v>
      </c>
      <c r="I22" s="64">
        <f>VLOOKUP($D22,'All data'!$E$2:$M$2281,6,0)</f>
        <v>2.0649786397608372</v>
      </c>
      <c r="J22" s="99">
        <f>VLOOKUP($D22,'All data'!$E$2:$M$2281,7,0)</f>
        <v>56.326575285929465</v>
      </c>
      <c r="K22" s="56">
        <f>VLOOKUP($C$5,'All data'!$G$2285:$J$2299,4,0)</f>
        <v>1.56</v>
      </c>
      <c r="L22" s="100">
        <f>VLOOKUP($D22,'All data'!$E$2:$M$2281,9,0)</f>
        <v>8775.9865197843683</v>
      </c>
    </row>
    <row r="23" spans="1:12">
      <c r="A23" s="97">
        <f t="shared" si="0"/>
        <v>14</v>
      </c>
      <c r="B23" s="56" t="s">
        <v>29</v>
      </c>
      <c r="C23" s="56" t="str">
        <f>VLOOKUP(B23,'country codes'!$A$3:$B$287,2,0)</f>
        <v>GBR</v>
      </c>
      <c r="D23" s="98" t="str">
        <f t="shared" si="1"/>
        <v>2019GBR</v>
      </c>
      <c r="E23" s="56">
        <v>3</v>
      </c>
      <c r="F23" s="63">
        <f>VLOOKUP($D23,'All data'!$E$2:$M$2281,2,0)</f>
        <v>67530.160999999993</v>
      </c>
      <c r="G23" s="63">
        <f>VLOOKUP($D23,'All data'!$E$2:$M$2281,4,0)</f>
        <v>81.3</v>
      </c>
      <c r="H23" s="64">
        <f>VLOOKUP($D23,'All data'!$E$2:$M$2281,5,0)</f>
        <v>7.1571512222290039</v>
      </c>
      <c r="I23" s="64">
        <f>VLOOKUP($D23,'All data'!$E$2:$M$2281,6,0)</f>
        <v>3.9485293572128723</v>
      </c>
      <c r="J23" s="99">
        <f>VLOOKUP($D23,'All data'!$E$2:$M$2281,7,0)</f>
        <v>55.967852543542634</v>
      </c>
      <c r="K23" s="56">
        <f>VLOOKUP($C$5,'All data'!$G$2285:$J$2299,4,0)</f>
        <v>1.56</v>
      </c>
      <c r="L23" s="100">
        <f>VLOOKUP($D23,'All data'!$E$2:$M$2281,9,0)</f>
        <v>46702.978418620842</v>
      </c>
    </row>
    <row r="24" spans="1:12">
      <c r="A24" s="97">
        <f t="shared" si="0"/>
        <v>15</v>
      </c>
      <c r="B24" s="56" t="s">
        <v>19</v>
      </c>
      <c r="C24" s="56" t="str">
        <f>VLOOKUP(B24,'country codes'!$A$3:$B$287,2,0)</f>
        <v>PER</v>
      </c>
      <c r="D24" s="98" t="str">
        <f t="shared" si="1"/>
        <v>2019PER</v>
      </c>
      <c r="E24" s="56">
        <v>1</v>
      </c>
      <c r="F24" s="63">
        <f>VLOOKUP($D24,'All data'!$E$2:$M$2281,2,0)</f>
        <v>32510.462</v>
      </c>
      <c r="G24" s="63">
        <f>VLOOKUP($D24,'All data'!$E$2:$M$2281,4,0)</f>
        <v>76.7</v>
      </c>
      <c r="H24" s="64">
        <f>VLOOKUP($D24,'All data'!$E$2:$M$2281,5,0)</f>
        <v>5.9993815422058105</v>
      </c>
      <c r="I24" s="64">
        <f>VLOOKUP($D24,'All data'!$E$2:$M$2281,6,0)</f>
        <v>2.087987088558259</v>
      </c>
      <c r="J24" s="99">
        <f>VLOOKUP($D24,'All data'!$E$2:$M$2281,7,0)</f>
        <v>55.89352022518748</v>
      </c>
      <c r="K24" s="56">
        <f>VLOOKUP($C$5,'All data'!$G$2285:$J$2299,4,0)</f>
        <v>1.56</v>
      </c>
      <c r="L24" s="100">
        <f>VLOOKUP($D24,'All data'!$E$2:$M$2281,9,0)</f>
        <v>12847.885207895664</v>
      </c>
    </row>
    <row r="25" spans="1:12">
      <c r="A25" s="97">
        <f t="shared" si="0"/>
        <v>16</v>
      </c>
      <c r="B25" s="56" t="s">
        <v>20</v>
      </c>
      <c r="C25" s="56" t="str">
        <f>VLOOKUP(B25,'country codes'!$A$3:$B$287,2,0)</f>
        <v>NIC</v>
      </c>
      <c r="D25" s="98" t="str">
        <f t="shared" si="1"/>
        <v>2019NIC</v>
      </c>
      <c r="E25" s="56">
        <v>1</v>
      </c>
      <c r="F25" s="63">
        <f>VLOOKUP($D25,'All data'!$E$2:$M$2281,2,0)</f>
        <v>6545.5029999999997</v>
      </c>
      <c r="G25" s="63">
        <f>VLOOKUP($D25,'All data'!$E$2:$M$2281,4,0)</f>
        <v>74.5</v>
      </c>
      <c r="H25" s="64">
        <f>VLOOKUP($D25,'All data'!$E$2:$M$2281,5,0)</f>
        <v>6.1125450134277344</v>
      </c>
      <c r="I25" s="64">
        <f>VLOOKUP($D25,'All data'!$E$2:$M$2281,6,0)</f>
        <v>2.0383031898528388</v>
      </c>
      <c r="J25" s="99">
        <f>VLOOKUP($D25,'All data'!$E$2:$M$2281,7,0)</f>
        <v>55.193643944994051</v>
      </c>
      <c r="K25" s="56">
        <f>VLOOKUP($C$5,'All data'!$G$2285:$J$2299,4,0)</f>
        <v>1.56</v>
      </c>
      <c r="L25" s="100">
        <f>VLOOKUP($D25,'All data'!$E$2:$M$2281,9,0)</f>
        <v>5407.1206998808284</v>
      </c>
    </row>
    <row r="26" spans="1:12">
      <c r="A26" s="97">
        <f t="shared" si="0"/>
        <v>17</v>
      </c>
      <c r="B26" s="56" t="s">
        <v>13</v>
      </c>
      <c r="C26" s="56" t="str">
        <f>VLOOKUP(B26,'country codes'!$A$3:$B$287,2,0)</f>
        <v>TJK</v>
      </c>
      <c r="D26" s="98" t="str">
        <f t="shared" si="1"/>
        <v>2019TJK</v>
      </c>
      <c r="E26" s="56">
        <v>7</v>
      </c>
      <c r="F26" s="63">
        <f>VLOOKUP($D26,'All data'!$E$2:$M$2281,2,0)</f>
        <v>9321.0229999999992</v>
      </c>
      <c r="G26" s="63">
        <f>VLOOKUP($D26,'All data'!$E$2:$M$2281,4,0)</f>
        <v>71.099999999999994</v>
      </c>
      <c r="H26" s="64">
        <f>VLOOKUP($D26,'All data'!$E$2:$M$2281,5,0)</f>
        <v>5.4640154838562012</v>
      </c>
      <c r="I26" s="64">
        <f>VLOOKUP($D26,'All data'!$E$2:$M$2281,6,0)</f>
        <v>0.96490158376783786</v>
      </c>
      <c r="J26" s="99">
        <f>VLOOKUP($D26,'All data'!$E$2:$M$2281,7,0)</f>
        <v>55.152978123143207</v>
      </c>
      <c r="K26" s="56">
        <f>VLOOKUP($C$5,'All data'!$G$2285:$J$2299,4,0)</f>
        <v>1.56</v>
      </c>
      <c r="L26" s="100">
        <f>VLOOKUP($D26,'All data'!$E$2:$M$2281,9,0)</f>
        <v>3379.7486966311199</v>
      </c>
    </row>
    <row r="27" spans="1:12">
      <c r="A27" s="97">
        <f t="shared" si="0"/>
        <v>18</v>
      </c>
      <c r="B27" s="56" t="s">
        <v>34</v>
      </c>
      <c r="C27" s="56" t="str">
        <f>VLOOKUP(B27,'country codes'!$A$3:$B$287,2,0)</f>
        <v>NLD</v>
      </c>
      <c r="D27" s="98" t="str">
        <f t="shared" si="1"/>
        <v>2019NLD</v>
      </c>
      <c r="E27" s="56">
        <v>3</v>
      </c>
      <c r="F27" s="63">
        <f>VLOOKUP($D27,'All data'!$E$2:$M$2281,2,0)</f>
        <v>17097.123</v>
      </c>
      <c r="G27" s="63">
        <f>VLOOKUP($D27,'All data'!$E$2:$M$2281,4,0)</f>
        <v>82.3</v>
      </c>
      <c r="H27" s="64">
        <f>VLOOKUP($D27,'All data'!$E$2:$M$2281,5,0)</f>
        <v>7.4252686500549316</v>
      </c>
      <c r="I27" s="64">
        <f>VLOOKUP($D27,'All data'!$E$2:$M$2281,6,0)</f>
        <v>4.5934823292827378</v>
      </c>
      <c r="J27" s="99">
        <f>VLOOKUP($D27,'All data'!$E$2:$M$2281,7,0)</f>
        <v>54.949417049423985</v>
      </c>
      <c r="K27" s="56">
        <f>VLOOKUP($C$5,'All data'!$G$2285:$J$2299,4,0)</f>
        <v>1.56</v>
      </c>
      <c r="L27" s="100">
        <f>VLOOKUP($D27,'All data'!$E$2:$M$2281,9,0)</f>
        <v>56809.9671740595</v>
      </c>
    </row>
    <row r="28" spans="1:12">
      <c r="A28" s="97">
        <f t="shared" si="0"/>
        <v>19</v>
      </c>
      <c r="B28" s="56" t="s">
        <v>21</v>
      </c>
      <c r="C28" s="56" t="str">
        <f>VLOOKUP(B28,'country codes'!$A$3:$B$287,2,0)</f>
        <v>DOM</v>
      </c>
      <c r="D28" s="98" t="str">
        <f t="shared" si="1"/>
        <v>2019DOM</v>
      </c>
      <c r="E28" s="56">
        <v>1</v>
      </c>
      <c r="F28" s="63">
        <f>VLOOKUP($D28,'All data'!$E$2:$M$2281,2,0)</f>
        <v>10738.957</v>
      </c>
      <c r="G28" s="63">
        <f>VLOOKUP($D28,'All data'!$E$2:$M$2281,4,0)</f>
        <v>74.099999999999994</v>
      </c>
      <c r="H28" s="64">
        <f>VLOOKUP($D28,'All data'!$E$2:$M$2281,5,0)</f>
        <v>6.004237174987793</v>
      </c>
      <c r="I28" s="64">
        <f>VLOOKUP($D28,'All data'!$E$2:$M$2281,6,0)</f>
        <v>1.9270284707766685</v>
      </c>
      <c r="J28" s="99">
        <f>VLOOKUP($D28,'All data'!$E$2:$M$2281,7,0)</f>
        <v>54.847261341231608</v>
      </c>
      <c r="K28" s="56">
        <f>VLOOKUP($C$5,'All data'!$G$2285:$J$2299,4,0)</f>
        <v>1.56</v>
      </c>
      <c r="L28" s="100">
        <f>VLOOKUP($D28,'All data'!$E$2:$M$2281,9,0)</f>
        <v>18412.898273581544</v>
      </c>
    </row>
    <row r="29" spans="1:12">
      <c r="A29" s="97">
        <f t="shared" si="0"/>
        <v>20</v>
      </c>
      <c r="B29" s="56" t="s">
        <v>18</v>
      </c>
      <c r="C29" s="56" t="str">
        <f>VLOOKUP(B29,'country codes'!$A$3:$B$287,2,0)</f>
        <v>ARM</v>
      </c>
      <c r="D29" s="98" t="str">
        <f t="shared" si="1"/>
        <v>2019ARM</v>
      </c>
      <c r="E29" s="56">
        <v>7</v>
      </c>
      <c r="F29" s="63">
        <f>VLOOKUP($D29,'All data'!$E$2:$M$2281,2,0)</f>
        <v>2957.7280000000001</v>
      </c>
      <c r="G29" s="63">
        <f>VLOOKUP($D29,'All data'!$E$2:$M$2281,4,0)</f>
        <v>75.099999999999994</v>
      </c>
      <c r="H29" s="64">
        <f>VLOOKUP($D29,'All data'!$E$2:$M$2281,5,0)</f>
        <v>5.4880867004394531</v>
      </c>
      <c r="I29" s="64">
        <f>VLOOKUP($D29,'All data'!$E$2:$M$2281,6,0)</f>
        <v>1.521645530899465</v>
      </c>
      <c r="J29" s="99">
        <f>VLOOKUP($D29,'All data'!$E$2:$M$2281,7,0)</f>
        <v>54.733933905185879</v>
      </c>
      <c r="K29" s="56">
        <f>VLOOKUP($C$5,'All data'!$G$2285:$J$2299,4,0)</f>
        <v>1.56</v>
      </c>
      <c r="L29" s="100">
        <f>VLOOKUP($D29,'All data'!$E$2:$M$2281,9,0)</f>
        <v>13653.749532396494</v>
      </c>
    </row>
    <row r="30" spans="1:12">
      <c r="A30" s="97">
        <f t="shared" si="0"/>
        <v>21</v>
      </c>
      <c r="B30" s="56" t="s">
        <v>26</v>
      </c>
      <c r="C30" s="56" t="str">
        <f>VLOOKUP(B30,'country codes'!$A$3:$B$287,2,0)</f>
        <v>BRA</v>
      </c>
      <c r="D30" s="98" t="str">
        <f t="shared" si="1"/>
        <v>2019BRA</v>
      </c>
      <c r="E30" s="56">
        <v>1</v>
      </c>
      <c r="F30" s="63">
        <f>VLOOKUP($D30,'All data'!$E$2:$M$2281,2,0)</f>
        <v>211049.519</v>
      </c>
      <c r="G30" s="63">
        <f>VLOOKUP($D30,'All data'!$E$2:$M$2281,4,0)</f>
        <v>75.900000000000006</v>
      </c>
      <c r="H30" s="64">
        <f>VLOOKUP($D30,'All data'!$E$2:$M$2281,5,0)</f>
        <v>6.4511489868164063</v>
      </c>
      <c r="I30" s="64">
        <f>VLOOKUP($D30,'All data'!$E$2:$M$2281,6,0)</f>
        <v>2.6794162879376895</v>
      </c>
      <c r="J30" s="99">
        <f>VLOOKUP($D30,'All data'!$E$2:$M$2281,7,0)</f>
        <v>54.568922347814492</v>
      </c>
      <c r="K30" s="56">
        <f>VLOOKUP($C$5,'All data'!$G$2285:$J$2299,4,0)</f>
        <v>1.56</v>
      </c>
      <c r="L30" s="100">
        <f>VLOOKUP($D30,'All data'!$E$2:$M$2281,9,0)</f>
        <v>14651.61618093461</v>
      </c>
    </row>
    <row r="31" spans="1:12">
      <c r="A31" s="97">
        <f t="shared" si="0"/>
        <v>22</v>
      </c>
      <c r="B31" s="56" t="s">
        <v>14</v>
      </c>
      <c r="C31" s="56" t="str">
        <f>VLOOKUP(B31,'country codes'!$A$3:$B$287,2,0)</f>
        <v>BGD</v>
      </c>
      <c r="D31" s="98" t="str">
        <f t="shared" si="1"/>
        <v>2019BGD</v>
      </c>
      <c r="E31" s="56">
        <v>6</v>
      </c>
      <c r="F31" s="63">
        <f>VLOOKUP($D31,'All data'!$E$2:$M$2281,2,0)</f>
        <v>163046.17300000001</v>
      </c>
      <c r="G31" s="63">
        <f>VLOOKUP($D31,'All data'!$E$2:$M$2281,4,0)</f>
        <v>72.599999999999994</v>
      </c>
      <c r="H31" s="64">
        <f>VLOOKUP($D31,'All data'!$E$2:$M$2281,5,0)</f>
        <v>5.1142168045043945</v>
      </c>
      <c r="I31" s="64">
        <f>VLOOKUP($D31,'All data'!$E$2:$M$2281,6,0)</f>
        <v>0.87501125700151594</v>
      </c>
      <c r="J31" s="99">
        <f>VLOOKUP($D31,'All data'!$E$2:$M$2281,7,0)</f>
        <v>54.467040743168333</v>
      </c>
      <c r="K31" s="56">
        <f>VLOOKUP($C$5,'All data'!$G$2285:$J$2299,4,0)</f>
        <v>1.56</v>
      </c>
      <c r="L31" s="100">
        <f>VLOOKUP($D31,'All data'!$E$2:$M$2281,9,0)</f>
        <v>4753.726946736665</v>
      </c>
    </row>
    <row r="32" spans="1:12">
      <c r="A32" s="97">
        <f t="shared" si="0"/>
        <v>23</v>
      </c>
      <c r="B32" s="56" t="s">
        <v>27</v>
      </c>
      <c r="C32" s="56" t="str">
        <f>VLOOKUP(B32,'country codes'!$A$3:$B$287,2,0)</f>
        <v>MEX</v>
      </c>
      <c r="D32" s="98" t="str">
        <f t="shared" si="1"/>
        <v>2019MEX</v>
      </c>
      <c r="E32" s="56">
        <v>1</v>
      </c>
      <c r="F32" s="63">
        <f>VLOOKUP($D32,'All data'!$E$2:$M$2281,2,0)</f>
        <v>127575.52899999999</v>
      </c>
      <c r="G32" s="63">
        <f>VLOOKUP($D32,'All data'!$E$2:$M$2281,4,0)</f>
        <v>75</v>
      </c>
      <c r="H32" s="64">
        <f>VLOOKUP($D32,'All data'!$E$2:$M$2281,5,0)</f>
        <v>6.4319453239440918</v>
      </c>
      <c r="I32" s="64">
        <f>VLOOKUP($D32,'All data'!$E$2:$M$2281,6,0)</f>
        <v>2.5783228917938259</v>
      </c>
      <c r="J32" s="99">
        <f>VLOOKUP($D32,'All data'!$E$2:$M$2281,7,0)</f>
        <v>54.330591008454839</v>
      </c>
      <c r="K32" s="56">
        <f>VLOOKUP($C$5,'All data'!$G$2285:$J$2299,4,0)</f>
        <v>1.56</v>
      </c>
      <c r="L32" s="100">
        <f>VLOOKUP($D32,'All data'!$E$2:$M$2281,9,0)</f>
        <v>19765.916078993821</v>
      </c>
    </row>
    <row r="33" spans="1:12">
      <c r="A33" s="97">
        <f t="shared" si="0"/>
        <v>24</v>
      </c>
      <c r="B33" s="56" t="s">
        <v>24</v>
      </c>
      <c r="C33" s="56" t="str">
        <f>VLOOKUP(B33,'country codes'!$A$3:$B$287,2,0)</f>
        <v>UZB</v>
      </c>
      <c r="D33" s="98" t="str">
        <f t="shared" si="1"/>
        <v>2019UZB</v>
      </c>
      <c r="E33" s="56">
        <v>7</v>
      </c>
      <c r="F33" s="63">
        <f>VLOOKUP($D33,'All data'!$E$2:$M$2281,2,0)</f>
        <v>32981.714999999997</v>
      </c>
      <c r="G33" s="63">
        <f>VLOOKUP($D33,'All data'!$E$2:$M$2281,4,0)</f>
        <v>71.7</v>
      </c>
      <c r="H33" s="64">
        <f>VLOOKUP($D33,'All data'!$E$2:$M$2281,5,0)</f>
        <v>6.1540493965148926</v>
      </c>
      <c r="I33" s="64">
        <f>VLOOKUP($D33,'All data'!$E$2:$M$2281,6,0)</f>
        <v>1.882619054534481</v>
      </c>
      <c r="J33" s="99">
        <f>VLOOKUP($D33,'All data'!$E$2:$M$2281,7,0)</f>
        <v>54.141269249349101</v>
      </c>
      <c r="K33" s="56">
        <f>VLOOKUP($C$5,'All data'!$G$2285:$J$2299,4,0)</f>
        <v>1.56</v>
      </c>
      <c r="L33" s="100">
        <f>VLOOKUP($D33,'All data'!$E$2:$M$2281,9,0)</f>
        <v>6998.7675755622731</v>
      </c>
    </row>
    <row r="34" spans="1:12">
      <c r="A34" s="97">
        <f t="shared" si="0"/>
        <v>25</v>
      </c>
      <c r="B34" s="56" t="s">
        <v>22</v>
      </c>
      <c r="C34" s="56" t="str">
        <f>VLOOKUP(B34,'country codes'!$A$3:$B$287,2,0)</f>
        <v>KGZ</v>
      </c>
      <c r="D34" s="98" t="str">
        <f t="shared" si="1"/>
        <v>2019KGZ</v>
      </c>
      <c r="E34" s="56">
        <v>7</v>
      </c>
      <c r="F34" s="63">
        <f>VLOOKUP($D34,'All data'!$E$2:$M$2281,2,0)</f>
        <v>6415.8509999999997</v>
      </c>
      <c r="G34" s="63">
        <f>VLOOKUP($D34,'All data'!$E$2:$M$2281,4,0)</f>
        <v>71.5</v>
      </c>
      <c r="H34" s="64">
        <f>VLOOKUP($D34,'All data'!$E$2:$M$2281,5,0)</f>
        <v>5.6852207183837891</v>
      </c>
      <c r="I34" s="64">
        <f>VLOOKUP($D34,'All data'!$E$2:$M$2281,6,0)</f>
        <v>1.4398903939600367</v>
      </c>
      <c r="J34" s="99">
        <f>VLOOKUP($D34,'All data'!$E$2:$M$2281,7,0)</f>
        <v>53.704210021682783</v>
      </c>
      <c r="K34" s="56">
        <f>VLOOKUP($C$5,'All data'!$G$2285:$J$2299,4,0)</f>
        <v>1.56</v>
      </c>
      <c r="L34" s="100">
        <f>VLOOKUP($D34,'All data'!$E$2:$M$2281,9,0)</f>
        <v>5253.6670340032488</v>
      </c>
    </row>
    <row r="35" spans="1:12">
      <c r="A35" s="97">
        <f t="shared" si="0"/>
        <v>26</v>
      </c>
      <c r="B35" s="56" t="s">
        <v>31</v>
      </c>
      <c r="C35" s="56" t="str">
        <f>VLOOKUP(B35,'country codes'!$A$3:$B$287,2,0)</f>
        <v>SRB</v>
      </c>
      <c r="D35" s="98" t="str">
        <f t="shared" si="1"/>
        <v>2019SRB</v>
      </c>
      <c r="E35" s="56">
        <v>7</v>
      </c>
      <c r="F35" s="63">
        <f>VLOOKUP($D35,'All data'!$E$2:$M$2281,2,0)</f>
        <v>8772.2279999999992</v>
      </c>
      <c r="G35" s="63">
        <f>VLOOKUP($D35,'All data'!$E$2:$M$2281,4,0)</f>
        <v>76</v>
      </c>
      <c r="H35" s="64">
        <f>VLOOKUP($D35,'All data'!$E$2:$M$2281,5,0)</f>
        <v>6.2414073944091797</v>
      </c>
      <c r="I35" s="64">
        <f>VLOOKUP($D35,'All data'!$E$2:$M$2281,6,0)</f>
        <v>2.6913860409704138</v>
      </c>
      <c r="J35" s="99">
        <f>VLOOKUP($D35,'All data'!$E$2:$M$2281,7,0)</f>
        <v>53.215806381808704</v>
      </c>
      <c r="K35" s="56">
        <f>VLOOKUP($C$5,'All data'!$G$2285:$J$2299,4,0)</f>
        <v>1.56</v>
      </c>
      <c r="L35" s="100">
        <f>VLOOKUP($D35,'All data'!$E$2:$M$2281,9,0)</f>
        <v>18350.587314679211</v>
      </c>
    </row>
    <row r="36" spans="1:12">
      <c r="A36" s="97">
        <f t="shared" si="0"/>
        <v>27</v>
      </c>
      <c r="B36" s="56" t="s">
        <v>23</v>
      </c>
      <c r="C36" s="56" t="str">
        <f>VLOOKUP(B36,'country codes'!$A$3:$B$287,2,0)</f>
        <v>NPL</v>
      </c>
      <c r="D36" s="98" t="str">
        <f t="shared" si="1"/>
        <v>2019NPL</v>
      </c>
      <c r="E36" s="56">
        <v>6</v>
      </c>
      <c r="F36" s="63">
        <f>VLOOKUP($D36,'All data'!$E$2:$M$2281,2,0)</f>
        <v>28608.715</v>
      </c>
      <c r="G36" s="63">
        <f>VLOOKUP($D36,'All data'!$E$2:$M$2281,4,0)</f>
        <v>70.8</v>
      </c>
      <c r="H36" s="64">
        <f>VLOOKUP($D36,'All data'!$E$2:$M$2281,5,0)</f>
        <v>5.4487247467041016</v>
      </c>
      <c r="I36" s="64">
        <f>VLOOKUP($D36,'All data'!$E$2:$M$2281,6,0)</f>
        <v>1.2029426929515383</v>
      </c>
      <c r="J36" s="99">
        <f>VLOOKUP($D36,'All data'!$E$2:$M$2281,7,0)</f>
        <v>53.055604323274174</v>
      </c>
      <c r="K36" s="56">
        <f>VLOOKUP($C$5,'All data'!$G$2285:$J$2299,4,0)</f>
        <v>1.56</v>
      </c>
      <c r="L36" s="100">
        <f>VLOOKUP($D36,'All data'!$E$2:$M$2281,9,0)</f>
        <v>3416.7912815864502</v>
      </c>
    </row>
    <row r="37" spans="1:12">
      <c r="A37" s="97">
        <f t="shared" si="0"/>
        <v>28</v>
      </c>
      <c r="B37" s="56" t="s">
        <v>32</v>
      </c>
      <c r="C37" s="56" t="str">
        <f>VLOOKUP(B37,'country codes'!$A$3:$B$287,2,0)</f>
        <v>THA</v>
      </c>
      <c r="D37" s="98" t="str">
        <f t="shared" si="1"/>
        <v>2019THA</v>
      </c>
      <c r="E37" s="56">
        <v>8</v>
      </c>
      <c r="F37" s="63">
        <f>VLOOKUP($D37,'All data'!$E$2:$M$2281,2,0)</f>
        <v>69625.581000000006</v>
      </c>
      <c r="G37" s="63">
        <f>VLOOKUP($D37,'All data'!$E$2:$M$2281,4,0)</f>
        <v>77.2</v>
      </c>
      <c r="H37" s="64">
        <f>VLOOKUP($D37,'All data'!$E$2:$M$2281,5,0)</f>
        <v>6.0221514701843262</v>
      </c>
      <c r="I37" s="64">
        <f>VLOOKUP($D37,'All data'!$E$2:$M$2281,6,0)</f>
        <v>2.6578455178568565</v>
      </c>
      <c r="J37" s="99">
        <f>VLOOKUP($D37,'All data'!$E$2:$M$2281,7,0)</f>
        <v>52.904528358040928</v>
      </c>
      <c r="K37" s="56">
        <f>VLOOKUP($C$5,'All data'!$G$2285:$J$2299,4,0)</f>
        <v>1.56</v>
      </c>
      <c r="L37" s="100">
        <f>VLOOKUP($D37,'All data'!$E$2:$M$2281,9,0)</f>
        <v>18459.994861904888</v>
      </c>
    </row>
    <row r="38" spans="1:12">
      <c r="A38" s="97">
        <f t="shared" si="0"/>
        <v>29</v>
      </c>
      <c r="B38" s="56" t="s">
        <v>40</v>
      </c>
      <c r="C38" s="56" t="str">
        <f>VLOOKUP(B38,'country codes'!$A$3:$B$287,2,0)</f>
        <v>DEU</v>
      </c>
      <c r="D38" s="98" t="str">
        <f t="shared" si="1"/>
        <v>2019DEU</v>
      </c>
      <c r="E38" s="56">
        <v>3</v>
      </c>
      <c r="F38" s="63">
        <f>VLOOKUP($D38,'All data'!$E$2:$M$2281,2,0)</f>
        <v>83517.046000000002</v>
      </c>
      <c r="G38" s="63">
        <f>VLOOKUP($D38,'All data'!$E$2:$M$2281,4,0)</f>
        <v>81.3</v>
      </c>
      <c r="H38" s="64">
        <f>VLOOKUP($D38,'All data'!$E$2:$M$2281,5,0)</f>
        <v>7.0354723930358887</v>
      </c>
      <c r="I38" s="64">
        <f>VLOOKUP($D38,'All data'!$E$2:$M$2281,6,0)</f>
        <v>4.4374314968765525</v>
      </c>
      <c r="J38" s="99">
        <f>VLOOKUP($D38,'All data'!$E$2:$M$2281,7,0)</f>
        <v>52.731317277417212</v>
      </c>
      <c r="K38" s="56">
        <f>VLOOKUP($C$5,'All data'!$G$2285:$J$2299,4,0)</f>
        <v>1.56</v>
      </c>
      <c r="L38" s="100">
        <f>VLOOKUP($D38,'All data'!$E$2:$M$2281,9,0)</f>
        <v>53810.565451508868</v>
      </c>
    </row>
    <row r="39" spans="1:12">
      <c r="A39" s="97">
        <f t="shared" si="0"/>
        <v>30</v>
      </c>
      <c r="B39" s="56" t="s">
        <v>42</v>
      </c>
      <c r="C39" s="56" t="str">
        <f>VLOOKUP(B39,'country codes'!$A$3:$B$287,2,0)</f>
        <v>ESP</v>
      </c>
      <c r="D39" s="98" t="str">
        <f t="shared" si="1"/>
        <v>2019ESP</v>
      </c>
      <c r="E39" s="56">
        <v>3</v>
      </c>
      <c r="F39" s="63">
        <f>VLOOKUP($D39,'All data'!$E$2:$M$2281,2,0)</f>
        <v>46736.781999999999</v>
      </c>
      <c r="G39" s="63">
        <f>VLOOKUP($D39,'All data'!$E$2:$M$2281,4,0)</f>
        <v>83.6</v>
      </c>
      <c r="H39" s="64">
        <f>VLOOKUP($D39,'All data'!$E$2:$M$2281,5,0)</f>
        <v>6.4574494361877441</v>
      </c>
      <c r="I39" s="64">
        <f>VLOOKUP($D39,'All data'!$E$2:$M$2281,6,0)</f>
        <v>4.1426688543357333</v>
      </c>
      <c r="J39" s="99">
        <f>VLOOKUP($D39,'All data'!$E$2:$M$2281,7,0)</f>
        <v>52.33551529511854</v>
      </c>
      <c r="K39" s="56">
        <f>VLOOKUP($C$5,'All data'!$G$2285:$J$2299,4,0)</f>
        <v>1.56</v>
      </c>
      <c r="L39" s="100">
        <f>VLOOKUP($D39,'All data'!$E$2:$M$2281,9,0)</f>
        <v>40936.219515438708</v>
      </c>
    </row>
    <row r="40" spans="1:12">
      <c r="A40" s="97">
        <f t="shared" si="0"/>
        <v>31</v>
      </c>
      <c r="B40" s="56" t="s">
        <v>44</v>
      </c>
      <c r="C40" s="56" t="str">
        <f>VLOOKUP(B40,'country codes'!$A$3:$B$287,2,0)</f>
        <v>FRA</v>
      </c>
      <c r="D40" s="98" t="str">
        <f t="shared" si="1"/>
        <v>2019FRA</v>
      </c>
      <c r="E40" s="56">
        <v>3</v>
      </c>
      <c r="F40" s="63">
        <f>VLOOKUP($D40,'All data'!$E$2:$M$2281,2,0)</f>
        <v>65129.731</v>
      </c>
      <c r="G40" s="63">
        <f>VLOOKUP($D40,'All data'!$E$2:$M$2281,4,0)</f>
        <v>82.7</v>
      </c>
      <c r="H40" s="64">
        <f>VLOOKUP($D40,'All data'!$E$2:$M$2281,5,0)</f>
        <v>6.6896443367004395</v>
      </c>
      <c r="I40" s="64">
        <f>VLOOKUP($D40,'All data'!$E$2:$M$2281,6,0)</f>
        <v>4.4093678908887801</v>
      </c>
      <c r="J40" s="99">
        <f>VLOOKUP($D40,'All data'!$E$2:$M$2281,7,0)</f>
        <v>51.815470188528032</v>
      </c>
      <c r="K40" s="56">
        <f>VLOOKUP($C$5,'All data'!$G$2285:$J$2299,4,0)</f>
        <v>1.56</v>
      </c>
      <c r="L40" s="100">
        <f>VLOOKUP($D40,'All data'!$E$2:$M$2281,9,0)</f>
        <v>46112.957954464327</v>
      </c>
    </row>
    <row r="41" spans="1:12">
      <c r="A41" s="97">
        <f t="shared" si="0"/>
        <v>32</v>
      </c>
      <c r="B41" s="56" t="s">
        <v>38</v>
      </c>
      <c r="C41" s="56" t="str">
        <f>VLOOKUP(B41,'country codes'!$A$3:$B$287,2,0)</f>
        <v>MUS</v>
      </c>
      <c r="D41" s="98" t="str">
        <f t="shared" si="1"/>
        <v>2019MUS</v>
      </c>
      <c r="E41" s="56">
        <v>5</v>
      </c>
      <c r="F41" s="63">
        <f>VLOOKUP($D41,'All data'!$E$2:$M$2281,2,0)</f>
        <v>1269.67</v>
      </c>
      <c r="G41" s="63">
        <f>VLOOKUP($D41,'All data'!$E$2:$M$2281,4,0)</f>
        <v>75</v>
      </c>
      <c r="H41" s="64">
        <f>VLOOKUP($D41,'All data'!$E$2:$M$2281,5,0)</f>
        <v>6.2411651611328125</v>
      </c>
      <c r="I41" s="64">
        <f>VLOOKUP($D41,'All data'!$E$2:$M$2281,6,0)</f>
        <v>2.8519472386511695</v>
      </c>
      <c r="J41" s="99">
        <f>VLOOKUP($D41,'All data'!$E$2:$M$2281,7,0)</f>
        <v>51.520777674004592</v>
      </c>
      <c r="K41" s="56">
        <f>VLOOKUP($C$5,'All data'!$G$2285:$J$2299,4,0)</f>
        <v>1.56</v>
      </c>
      <c r="L41" s="100">
        <f>VLOOKUP($D41,'All data'!$E$2:$M$2281,9,0)</f>
        <v>22870.286249530815</v>
      </c>
    </row>
    <row r="42" spans="1:12">
      <c r="A42" s="97">
        <f t="shared" ref="A42:A73" si="2">IFERROR(RANK(J42,$J$10:$J$161),"")</f>
        <v>33</v>
      </c>
      <c r="B42" s="56" t="s">
        <v>57</v>
      </c>
      <c r="C42" s="56" t="str">
        <f>VLOOKUP(B42,'country codes'!$A$3:$B$287,2,0)</f>
        <v>FIN</v>
      </c>
      <c r="D42" s="98" t="str">
        <f t="shared" ref="D42:D73" si="3">$C$5&amp;C42</f>
        <v>2019FIN</v>
      </c>
      <c r="E42" s="56">
        <v>3</v>
      </c>
      <c r="F42" s="63">
        <f>VLOOKUP($D42,'All data'!$E$2:$M$2281,2,0)</f>
        <v>5532.1589999999997</v>
      </c>
      <c r="G42" s="63">
        <f>VLOOKUP($D42,'All data'!$E$2:$M$2281,4,0)</f>
        <v>81.900000000000006</v>
      </c>
      <c r="H42" s="64">
        <f>VLOOKUP($D42,'All data'!$E$2:$M$2281,5,0)</f>
        <v>7.7803478240966797</v>
      </c>
      <c r="I42" s="64">
        <f>VLOOKUP($D42,'All data'!$E$2:$M$2281,6,0)</f>
        <v>5.7581561943789001</v>
      </c>
      <c r="J42" s="99">
        <f>VLOOKUP($D42,'All data'!$E$2:$M$2281,7,0)</f>
        <v>51.271693796355734</v>
      </c>
      <c r="K42" s="56">
        <f>VLOOKUP($C$5,'All data'!$G$2285:$J$2299,4,0)</f>
        <v>1.56</v>
      </c>
      <c r="L42" s="100">
        <f>VLOOKUP($D42,'All data'!$E$2:$M$2281,9,0)</f>
        <v>48802.88809721102</v>
      </c>
    </row>
    <row r="43" spans="1:12">
      <c r="A43" s="97">
        <f t="shared" si="2"/>
        <v>34</v>
      </c>
      <c r="B43" s="56" t="s">
        <v>28</v>
      </c>
      <c r="C43" s="56" t="str">
        <f>VLOOKUP(B43,'country codes'!$A$3:$B$287,2,0)</f>
        <v>SEN</v>
      </c>
      <c r="D43" s="98" t="str">
        <f t="shared" si="3"/>
        <v>2019SEN</v>
      </c>
      <c r="E43" s="56">
        <v>5</v>
      </c>
      <c r="F43" s="63">
        <f>VLOOKUP($D43,'All data'!$E$2:$M$2281,2,0)</f>
        <v>16296.361999999999</v>
      </c>
      <c r="G43" s="63">
        <f>VLOOKUP($D43,'All data'!$E$2:$M$2281,4,0)</f>
        <v>67.900000000000006</v>
      </c>
      <c r="H43" s="64">
        <f>VLOOKUP($D43,'All data'!$E$2:$M$2281,5,0)</f>
        <v>5.488736629486084</v>
      </c>
      <c r="I43" s="64">
        <f>VLOOKUP($D43,'All data'!$E$2:$M$2281,6,0)</f>
        <v>1.1524615097131521</v>
      </c>
      <c r="J43" s="99">
        <f>VLOOKUP($D43,'All data'!$E$2:$M$2281,7,0)</f>
        <v>51.195189040862537</v>
      </c>
      <c r="K43" s="56">
        <f>VLOOKUP($C$5,'All data'!$G$2285:$J$2299,4,0)</f>
        <v>1.56</v>
      </c>
      <c r="L43" s="100">
        <f>VLOOKUP($D43,'All data'!$E$2:$M$2281,9,0)</f>
        <v>3394.8688077216812</v>
      </c>
    </row>
    <row r="44" spans="1:12">
      <c r="A44" s="97">
        <f t="shared" si="2"/>
        <v>35</v>
      </c>
      <c r="B44" s="56" t="s">
        <v>54</v>
      </c>
      <c r="C44" s="56" t="str">
        <f>VLOOKUP(B44,'country codes'!$A$3:$B$287,2,0)</f>
        <v>IRL</v>
      </c>
      <c r="D44" s="98" t="str">
        <f t="shared" si="3"/>
        <v>2019IRL</v>
      </c>
      <c r="E44" s="56">
        <v>3</v>
      </c>
      <c r="F44" s="63">
        <f>VLOOKUP($D44,'All data'!$E$2:$M$2281,2,0)</f>
        <v>4882.4979999999996</v>
      </c>
      <c r="G44" s="63">
        <f>VLOOKUP($D44,'All data'!$E$2:$M$2281,4,0)</f>
        <v>82.3</v>
      </c>
      <c r="H44" s="64">
        <f>VLOOKUP($D44,'All data'!$E$2:$M$2281,5,0)</f>
        <v>7.2548413276672363</v>
      </c>
      <c r="I44" s="64">
        <f>VLOOKUP($D44,'All data'!$E$2:$M$2281,6,0)</f>
        <v>5.1968290530508545</v>
      </c>
      <c r="J44" s="99">
        <f>VLOOKUP($D44,'All data'!$E$2:$M$2281,7,0)</f>
        <v>51.148508134578663</v>
      </c>
      <c r="K44" s="56">
        <f>VLOOKUP($C$5,'All data'!$G$2285:$J$2299,4,0)</f>
        <v>1.56</v>
      </c>
      <c r="L44" s="100">
        <f>VLOOKUP($D44,'All data'!$E$2:$M$2281,9,0)</f>
        <v>86826.335101853896</v>
      </c>
    </row>
    <row r="45" spans="1:12">
      <c r="A45" s="97">
        <f t="shared" si="2"/>
        <v>36</v>
      </c>
      <c r="B45" s="56" t="s">
        <v>35</v>
      </c>
      <c r="C45" s="56" t="str">
        <f>VLOOKUP(B45,'country codes'!$A$3:$B$287,2,0)</f>
        <v>ALB</v>
      </c>
      <c r="D45" s="98" t="str">
        <f t="shared" si="3"/>
        <v>2019ALB</v>
      </c>
      <c r="E45" s="56">
        <v>7</v>
      </c>
      <c r="F45" s="63">
        <f>VLOOKUP($D45,'All data'!$E$2:$M$2281,2,0)</f>
        <v>2880.913</v>
      </c>
      <c r="G45" s="63">
        <f>VLOOKUP($D45,'All data'!$E$2:$M$2281,4,0)</f>
        <v>78.599999999999994</v>
      </c>
      <c r="H45" s="64">
        <f>VLOOKUP($D45,'All data'!$E$2:$M$2281,5,0)</f>
        <v>4.9953179359436035</v>
      </c>
      <c r="I45" s="64">
        <f>VLOOKUP($D45,'All data'!$E$2:$M$2281,6,0)</f>
        <v>1.9537262965787552</v>
      </c>
      <c r="J45" s="99">
        <f>VLOOKUP($D45,'All data'!$E$2:$M$2281,7,0)</f>
        <v>51.033093746774568</v>
      </c>
      <c r="K45" s="56">
        <f>VLOOKUP($C$5,'All data'!$G$2285:$J$2299,4,0)</f>
        <v>1.56</v>
      </c>
      <c r="L45" s="100">
        <f>VLOOKUP($D45,'All data'!$E$2:$M$2281,9,0)</f>
        <v>13724.058789995936</v>
      </c>
    </row>
    <row r="46" spans="1:12">
      <c r="A46" s="97">
        <f t="shared" si="2"/>
        <v>37</v>
      </c>
      <c r="B46" s="56" t="s">
        <v>36</v>
      </c>
      <c r="C46" s="56" t="str">
        <f>VLOOKUP(B46,'country codes'!$A$3:$B$287,2,0)</f>
        <v>MDA</v>
      </c>
      <c r="D46" s="98" t="str">
        <f t="shared" si="3"/>
        <v>2019MDA</v>
      </c>
      <c r="E46" s="56">
        <v>7</v>
      </c>
      <c r="F46" s="63">
        <f>VLOOKUP($D46,'All data'!$E$2:$M$2281,2,0)</f>
        <v>4043.2579999999998</v>
      </c>
      <c r="G46" s="63">
        <f>VLOOKUP($D46,'All data'!$E$2:$M$2281,4,0)</f>
        <v>71.900000000000006</v>
      </c>
      <c r="H46" s="64">
        <f>VLOOKUP($D46,'All data'!$E$2:$M$2281,5,0)</f>
        <v>5.8034505844116211</v>
      </c>
      <c r="I46" s="64">
        <f>VLOOKUP($D46,'All data'!$E$2:$M$2281,6,0)</f>
        <v>2.0415058721504447</v>
      </c>
      <c r="J46" s="99">
        <f>VLOOKUP($D46,'All data'!$E$2:$M$2281,7,0)</f>
        <v>50.968895163976804</v>
      </c>
      <c r="K46" s="56">
        <f>VLOOKUP($C$5,'All data'!$G$2285:$J$2299,4,0)</f>
        <v>1.56</v>
      </c>
      <c r="L46" s="100">
        <f>VLOOKUP($D46,'All data'!$E$2:$M$2281,9,0)</f>
        <v>13022.004601529999</v>
      </c>
    </row>
    <row r="47" spans="1:12">
      <c r="A47" s="97">
        <f t="shared" si="2"/>
        <v>38</v>
      </c>
      <c r="B47" s="56" t="s">
        <v>59</v>
      </c>
      <c r="C47" s="56" t="str">
        <f>VLOOKUP(B47,'country codes'!$A$3:$B$287,2,0)</f>
        <v>NOR</v>
      </c>
      <c r="D47" s="98" t="str">
        <f t="shared" si="3"/>
        <v>2019NOR</v>
      </c>
      <c r="E47" s="56">
        <v>3</v>
      </c>
      <c r="F47" s="63">
        <f>VLOOKUP($D47,'All data'!$E$2:$M$2281,2,0)</f>
        <v>5378.8590000000004</v>
      </c>
      <c r="G47" s="63">
        <f>VLOOKUP($D47,'All data'!$E$2:$M$2281,4,0)</f>
        <v>82.4</v>
      </c>
      <c r="H47" s="64">
        <f>VLOOKUP($D47,'All data'!$E$2:$M$2281,5,0)</f>
        <v>7.4421396255493164</v>
      </c>
      <c r="I47" s="64">
        <f>VLOOKUP($D47,'All data'!$E$2:$M$2281,6,0)</f>
        <v>5.509702465298604</v>
      </c>
      <c r="J47" s="99">
        <f>VLOOKUP($D47,'All data'!$E$2:$M$2281,7,0)</f>
        <v>50.875192748854197</v>
      </c>
      <c r="K47" s="56">
        <f>VLOOKUP($C$5,'All data'!$G$2285:$J$2299,4,0)</f>
        <v>1.56</v>
      </c>
      <c r="L47" s="100">
        <f>VLOOKUP($D47,'All data'!$E$2:$M$2281,9,0)</f>
        <v>64962.262265630969</v>
      </c>
    </row>
    <row r="48" spans="1:12">
      <c r="A48" s="97">
        <f t="shared" si="2"/>
        <v>39</v>
      </c>
      <c r="B48" s="56" t="s">
        <v>33</v>
      </c>
      <c r="C48" s="56" t="str">
        <f>VLOOKUP(B48,'country codes'!$A$3:$B$287,2,0)</f>
        <v>MAR</v>
      </c>
      <c r="D48" s="98" t="str">
        <f t="shared" si="3"/>
        <v>2019MAR</v>
      </c>
      <c r="E48" s="56">
        <v>4</v>
      </c>
      <c r="F48" s="63">
        <f>VLOOKUP($D48,'All data'!$E$2:$M$2281,2,0)</f>
        <v>36471.766000000003</v>
      </c>
      <c r="G48" s="63">
        <f>VLOOKUP($D48,'All data'!$E$2:$M$2281,4,0)</f>
        <v>76.7</v>
      </c>
      <c r="H48" s="64">
        <f>VLOOKUP($D48,'All data'!$E$2:$M$2281,5,0)</f>
        <v>5.0567517280578613</v>
      </c>
      <c r="I48" s="64">
        <f>VLOOKUP($D48,'All data'!$E$2:$M$2281,6,0)</f>
        <v>1.8226419843837702</v>
      </c>
      <c r="J48" s="99">
        <f>VLOOKUP($D48,'All data'!$E$2:$M$2281,7,0)</f>
        <v>50.873095460648159</v>
      </c>
      <c r="K48" s="56">
        <f>VLOOKUP($C$5,'All data'!$G$2285:$J$2299,4,0)</f>
        <v>1.56</v>
      </c>
      <c r="L48" s="100">
        <f>VLOOKUP($D48,'All data'!$E$2:$M$2281,9,0)</f>
        <v>7514.7208811662604</v>
      </c>
    </row>
    <row r="49" spans="1:12">
      <c r="A49" s="97">
        <f t="shared" si="2"/>
        <v>40</v>
      </c>
      <c r="B49" s="56" t="s">
        <v>52</v>
      </c>
      <c r="C49" s="56" t="str">
        <f>VLOOKUP(B49,'country codes'!$A$3:$B$287,2,0)</f>
        <v>ITA</v>
      </c>
      <c r="D49" s="98" t="str">
        <f t="shared" si="3"/>
        <v>2019ITA</v>
      </c>
      <c r="E49" s="56">
        <v>3</v>
      </c>
      <c r="F49" s="63">
        <f>VLOOKUP($D49,'All data'!$E$2:$M$2281,2,0)</f>
        <v>60550.091999999997</v>
      </c>
      <c r="G49" s="63">
        <f>VLOOKUP($D49,'All data'!$E$2:$M$2281,4,0)</f>
        <v>83.5</v>
      </c>
      <c r="H49" s="64">
        <f>VLOOKUP($D49,'All data'!$E$2:$M$2281,5,0)</f>
        <v>6.4454169273376465</v>
      </c>
      <c r="I49" s="64">
        <f>VLOOKUP($D49,'All data'!$E$2:$M$2281,6,0)</f>
        <v>4.453128052579304</v>
      </c>
      <c r="J49" s="99">
        <f>VLOOKUP($D49,'All data'!$E$2:$M$2281,7,0)</f>
        <v>50.697618294613434</v>
      </c>
      <c r="K49" s="56">
        <f>VLOOKUP($C$5,'All data'!$G$2285:$J$2299,4,0)</f>
        <v>1.56</v>
      </c>
      <c r="L49" s="100">
        <f>VLOOKUP($D49,'All data'!$E$2:$M$2281,9,0)</f>
        <v>42416.416713668325</v>
      </c>
    </row>
    <row r="50" spans="1:12">
      <c r="A50" s="97">
        <f t="shared" si="2"/>
        <v>41</v>
      </c>
      <c r="B50" s="56" t="s">
        <v>62</v>
      </c>
      <c r="C50" s="56" t="str">
        <f>VLOOKUP(B50,'country codes'!$A$3:$B$287,2,0)</f>
        <v>SWE</v>
      </c>
      <c r="D50" s="98" t="str">
        <f t="shared" si="3"/>
        <v>2019SWE</v>
      </c>
      <c r="E50" s="56">
        <v>3</v>
      </c>
      <c r="F50" s="63">
        <f>VLOOKUP($D50,'All data'!$E$2:$M$2281,2,0)</f>
        <v>10036.391</v>
      </c>
      <c r="G50" s="63">
        <f>VLOOKUP($D50,'All data'!$E$2:$M$2281,4,0)</f>
        <v>82.8</v>
      </c>
      <c r="H50" s="64">
        <f>VLOOKUP($D50,'All data'!$E$2:$M$2281,5,0)</f>
        <v>7.3980927467346191</v>
      </c>
      <c r="I50" s="64">
        <f>VLOOKUP($D50,'All data'!$E$2:$M$2281,6,0)</f>
        <v>5.6055931127758507</v>
      </c>
      <c r="J50" s="99">
        <f>VLOOKUP($D50,'All data'!$E$2:$M$2281,7,0)</f>
        <v>50.500516124288048</v>
      </c>
      <c r="K50" s="56">
        <f>VLOOKUP($C$5,'All data'!$G$2285:$J$2299,4,0)</f>
        <v>1.56</v>
      </c>
      <c r="L50" s="100">
        <f>VLOOKUP($D50,'All data'!$E$2:$M$2281,9,0)</f>
        <v>52642.315198205557</v>
      </c>
    </row>
    <row r="51" spans="1:12">
      <c r="A51" s="97">
        <f t="shared" si="2"/>
        <v>42</v>
      </c>
      <c r="B51" s="56" t="s">
        <v>30</v>
      </c>
      <c r="C51" s="56" t="str">
        <f>VLOOKUP(B51,'country codes'!$A$3:$B$287,2,0)</f>
        <v>PSE</v>
      </c>
      <c r="D51" s="98" t="str">
        <f t="shared" si="3"/>
        <v>2019PSE</v>
      </c>
      <c r="E51" s="56">
        <v>4</v>
      </c>
      <c r="F51" s="63">
        <f>VLOOKUP($D51,'All data'!$E$2:$M$2281,2,0)</f>
        <v>4981.4219999999996</v>
      </c>
      <c r="G51" s="63">
        <f>VLOOKUP($D51,'All data'!$E$2:$M$2281,4,0)</f>
        <v>74</v>
      </c>
      <c r="H51" s="64">
        <f>VLOOKUP($D51,'All data'!$E$2:$M$2281,5,0)</f>
        <v>4.4825372695922852</v>
      </c>
      <c r="I51" s="64">
        <f>VLOOKUP($D51,'All data'!$E$2:$M$2281,6,0)</f>
        <v>0.93543649794086237</v>
      </c>
      <c r="J51" s="99">
        <f>VLOOKUP($D51,'All data'!$E$2:$M$2281,7,0)</f>
        <v>50.259283653189549</v>
      </c>
      <c r="K51" s="56">
        <f>VLOOKUP($C$5,'All data'!$G$2285:$J$2299,4,0)</f>
        <v>1.56</v>
      </c>
      <c r="L51" s="100">
        <f>VLOOKUP($D51,'All data'!$E$2:$M$2281,9,0)</f>
        <v>6219.9602906647824</v>
      </c>
    </row>
    <row r="52" spans="1:12">
      <c r="A52" s="97">
        <f t="shared" si="2"/>
        <v>43</v>
      </c>
      <c r="B52" s="56" t="s">
        <v>45</v>
      </c>
      <c r="C52" s="56" t="str">
        <f>VLOOKUP(B52,'country codes'!$A$3:$B$287,2,0)</f>
        <v>ARG</v>
      </c>
      <c r="D52" s="98" t="str">
        <f t="shared" si="3"/>
        <v>2019ARG</v>
      </c>
      <c r="E52" s="56">
        <v>1</v>
      </c>
      <c r="F52" s="63">
        <f>VLOOKUP($D52,'All data'!$E$2:$M$2281,2,0)</f>
        <v>44780.675000000003</v>
      </c>
      <c r="G52" s="63">
        <f>VLOOKUP($D52,'All data'!$E$2:$M$2281,4,0)</f>
        <v>76.7</v>
      </c>
      <c r="H52" s="64">
        <f>VLOOKUP($D52,'All data'!$E$2:$M$2281,5,0)</f>
        <v>6.0855607986450195</v>
      </c>
      <c r="I52" s="64">
        <f>VLOOKUP($D52,'All data'!$E$2:$M$2281,6,0)</f>
        <v>3.1914701188607153</v>
      </c>
      <c r="J52" s="99">
        <f>VLOOKUP($D52,'All data'!$E$2:$M$2281,7,0)</f>
        <v>49.988725920862628</v>
      </c>
      <c r="K52" s="56">
        <f>VLOOKUP($C$5,'All data'!$G$2285:$J$2299,4,0)</f>
        <v>1.56</v>
      </c>
      <c r="L52" s="100">
        <f>VLOOKUP($D52,'All data'!$E$2:$M$2281,9,0)</f>
        <v>22063.904372429028</v>
      </c>
    </row>
    <row r="53" spans="1:12">
      <c r="A53" s="97">
        <f t="shared" si="2"/>
        <v>44</v>
      </c>
      <c r="B53" s="56" t="s">
        <v>37</v>
      </c>
      <c r="C53" s="56" t="str">
        <f>VLOOKUP(B53,'country codes'!$A$3:$B$287,2,0)</f>
        <v>IDN</v>
      </c>
      <c r="D53" s="98" t="str">
        <f t="shared" si="3"/>
        <v>2019IDN</v>
      </c>
      <c r="E53" s="56">
        <v>8</v>
      </c>
      <c r="F53" s="63">
        <f>VLOOKUP($D53,'All data'!$E$2:$M$2281,2,0)</f>
        <v>270625.56699999998</v>
      </c>
      <c r="G53" s="63">
        <f>VLOOKUP($D53,'All data'!$E$2:$M$2281,4,0)</f>
        <v>71.7</v>
      </c>
      <c r="H53" s="64">
        <f>VLOOKUP($D53,'All data'!$E$2:$M$2281,5,0)</f>
        <v>5.3465127944946289</v>
      </c>
      <c r="I53" s="64">
        <f>VLOOKUP($D53,'All data'!$E$2:$M$2281,6,0)</f>
        <v>1.7351592062952643</v>
      </c>
      <c r="J53" s="99">
        <f>VLOOKUP($D53,'All data'!$E$2:$M$2281,7,0)</f>
        <v>49.597978124499164</v>
      </c>
      <c r="K53" s="56">
        <f>VLOOKUP($C$5,'All data'!$G$2285:$J$2299,4,0)</f>
        <v>1.56</v>
      </c>
      <c r="L53" s="100">
        <f>VLOOKUP($D53,'All data'!$E$2:$M$2281,9,0)</f>
        <v>11812.197643075118</v>
      </c>
    </row>
    <row r="54" spans="1:12">
      <c r="A54" s="97">
        <f t="shared" si="2"/>
        <v>45</v>
      </c>
      <c r="B54" s="56" t="s">
        <v>58</v>
      </c>
      <c r="C54" s="56" t="str">
        <f>VLOOKUP(B54,'country codes'!$A$3:$B$287,2,0)</f>
        <v>CYP</v>
      </c>
      <c r="D54" s="98" t="str">
        <f t="shared" si="3"/>
        <v>2019CYP</v>
      </c>
      <c r="E54" s="56">
        <v>3</v>
      </c>
      <c r="F54" s="63">
        <f>VLOOKUP($D54,'All data'!$E$2:$M$2281,2,0)</f>
        <v>1198.5740000000001</v>
      </c>
      <c r="G54" s="63">
        <f>VLOOKUP($D54,'All data'!$E$2:$M$2281,4,0)</f>
        <v>81</v>
      </c>
      <c r="H54" s="64">
        <f>VLOOKUP($D54,'All data'!$E$2:$M$2281,5,0)</f>
        <v>6.1368327140808105</v>
      </c>
      <c r="I54" s="64">
        <f>VLOOKUP($D54,'All data'!$E$2:$M$2281,6,0)</f>
        <v>3.9744585053223158</v>
      </c>
      <c r="J54" s="99">
        <f>VLOOKUP($D54,'All data'!$E$2:$M$2281,7,0)</f>
        <v>49.418366098030845</v>
      </c>
      <c r="K54" s="56">
        <f>VLOOKUP($C$5,'All data'!$G$2285:$J$2299,4,0)</f>
        <v>1.56</v>
      </c>
      <c r="L54" s="100">
        <f>VLOOKUP($D54,'All data'!$E$2:$M$2281,9,0)</f>
        <v>39544.681847175401</v>
      </c>
    </row>
    <row r="55" spans="1:12">
      <c r="A55" s="97">
        <f t="shared" si="2"/>
        <v>46</v>
      </c>
      <c r="B55" s="56" t="s">
        <v>39</v>
      </c>
      <c r="C55" s="56" t="str">
        <f>VLOOKUP(B55,'country codes'!$A$3:$B$287,2,0)</f>
        <v>VEN</v>
      </c>
      <c r="D55" s="98" t="str">
        <f t="shared" si="3"/>
        <v>2019VEN</v>
      </c>
      <c r="E55" s="56">
        <v>1</v>
      </c>
      <c r="F55" s="63">
        <f>VLOOKUP($D55,'All data'!$E$2:$M$2281,2,0)</f>
        <v>28515.829000000002</v>
      </c>
      <c r="G55" s="63">
        <f>VLOOKUP($D55,'All data'!$E$2:$M$2281,4,0)</f>
        <v>72.099999999999994</v>
      </c>
      <c r="H55" s="64">
        <f>VLOOKUP($D55,'All data'!$E$2:$M$2281,5,0)</f>
        <v>5.080803394317627</v>
      </c>
      <c r="I55" s="64">
        <f>VLOOKUP($D55,'All data'!$E$2:$M$2281,6,0)</f>
        <v>1.5931817869687699</v>
      </c>
      <c r="J55" s="99">
        <f>VLOOKUP($D55,'All data'!$E$2:$M$2281,7,0)</f>
        <v>48.94059614165274</v>
      </c>
      <c r="K55" s="56">
        <f>VLOOKUP($C$5,'All data'!$G$2285:$J$2299,4,0)</f>
        <v>1.56</v>
      </c>
      <c r="L55" s="100" t="str">
        <f>VLOOKUP($D55,'All data'!$E$2:$M$2281,9,0)</f>
        <v>..</v>
      </c>
    </row>
    <row r="56" spans="1:12">
      <c r="A56" s="97">
        <f t="shared" si="2"/>
        <v>47</v>
      </c>
      <c r="B56" s="56" t="s">
        <v>64</v>
      </c>
      <c r="C56" s="56" t="str">
        <f>VLOOKUP(B56,'country codes'!$A$3:$B$287,2,0)</f>
        <v>GRC</v>
      </c>
      <c r="D56" s="98" t="str">
        <f t="shared" si="3"/>
        <v>2019GRC</v>
      </c>
      <c r="E56" s="56">
        <v>3</v>
      </c>
      <c r="F56" s="63">
        <f>VLOOKUP($D56,'All data'!$E$2:$M$2281,2,0)</f>
        <v>10473.451999999999</v>
      </c>
      <c r="G56" s="63">
        <f>VLOOKUP($D56,'All data'!$E$2:$M$2281,4,0)</f>
        <v>82.2</v>
      </c>
      <c r="H56" s="64">
        <f>VLOOKUP($D56,'All data'!$E$2:$M$2281,5,0)</f>
        <v>5.9521574974060059</v>
      </c>
      <c r="I56" s="64">
        <f>VLOOKUP($D56,'All data'!$E$2:$M$2281,6,0)</f>
        <v>4.0350813125797673</v>
      </c>
      <c r="J56" s="99">
        <f>VLOOKUP($D56,'All data'!$E$2:$M$2281,7,0)</f>
        <v>48.810027623344595</v>
      </c>
      <c r="K56" s="56">
        <f>VLOOKUP($C$5,'All data'!$G$2285:$J$2299,4,0)</f>
        <v>1.56</v>
      </c>
      <c r="L56" s="100">
        <f>VLOOKUP($D56,'All data'!$E$2:$M$2281,9,0)</f>
        <v>30463.041047500858</v>
      </c>
    </row>
    <row r="57" spans="1:12">
      <c r="A57" s="97">
        <f t="shared" si="2"/>
        <v>48</v>
      </c>
      <c r="B57" s="56" t="s">
        <v>50</v>
      </c>
      <c r="C57" s="56" t="str">
        <f>VLOOKUP(B57,'country codes'!$A$3:$B$287,2,0)</f>
        <v>VNM</v>
      </c>
      <c r="D57" s="98" t="str">
        <f t="shared" si="3"/>
        <v>2019VNM</v>
      </c>
      <c r="E57" s="56">
        <v>8</v>
      </c>
      <c r="F57" s="63">
        <f>VLOOKUP($D57,'All data'!$E$2:$M$2281,2,0)</f>
        <v>96462.107999999993</v>
      </c>
      <c r="G57" s="63">
        <f>VLOOKUP($D57,'All data'!$E$2:$M$2281,4,0)</f>
        <v>75.400000000000006</v>
      </c>
      <c r="H57" s="64">
        <f>VLOOKUP($D57,'All data'!$E$2:$M$2281,5,0)</f>
        <v>5.4674510955810547</v>
      </c>
      <c r="I57" s="64">
        <f>VLOOKUP($D57,'All data'!$E$2:$M$2281,6,0)</f>
        <v>2.563736180126841</v>
      </c>
      <c r="J57" s="99">
        <f>VLOOKUP($D57,'All data'!$E$2:$M$2281,7,0)</f>
        <v>48.444597454679794</v>
      </c>
      <c r="K57" s="56">
        <f>VLOOKUP($C$5,'All data'!$G$2285:$J$2299,4,0)</f>
        <v>1.56</v>
      </c>
      <c r="L57" s="100">
        <f>VLOOKUP($D57,'All data'!$E$2:$M$2281,9,0)</f>
        <v>8041.1785508187786</v>
      </c>
    </row>
    <row r="58" spans="1:12">
      <c r="A58" s="97">
        <f t="shared" si="2"/>
        <v>49</v>
      </c>
      <c r="B58" s="56" t="s">
        <v>74</v>
      </c>
      <c r="C58" s="56" t="str">
        <f>VLOOKUP(B58,'country codes'!$A$3:$B$287,2,0)</f>
        <v>ISR</v>
      </c>
      <c r="D58" s="98" t="str">
        <f t="shared" si="3"/>
        <v>2019ISR</v>
      </c>
      <c r="E58" s="56">
        <v>4</v>
      </c>
      <c r="F58" s="63">
        <f>VLOOKUP($D58,'All data'!$E$2:$M$2281,2,0)</f>
        <v>8519.3729999999996</v>
      </c>
      <c r="G58" s="63">
        <f>VLOOKUP($D58,'All data'!$E$2:$M$2281,4,0)</f>
        <v>83</v>
      </c>
      <c r="H58" s="64">
        <f>VLOOKUP($D58,'All data'!$E$2:$M$2281,5,0)</f>
        <v>7.331779956817627</v>
      </c>
      <c r="I58" s="64">
        <f>VLOOKUP($D58,'All data'!$E$2:$M$2281,6,0)</f>
        <v>6.1113518499137927</v>
      </c>
      <c r="J58" s="99">
        <f>VLOOKUP($D58,'All data'!$E$2:$M$2281,7,0)</f>
        <v>48.243421472114974</v>
      </c>
      <c r="K58" s="56">
        <f>VLOOKUP($C$5,'All data'!$G$2285:$J$2299,4,0)</f>
        <v>1.56</v>
      </c>
      <c r="L58" s="100">
        <f>VLOOKUP($D58,'All data'!$E$2:$M$2281,9,0)</f>
        <v>40200.287418944143</v>
      </c>
    </row>
    <row r="59" spans="1:12">
      <c r="A59" s="97">
        <f t="shared" si="2"/>
        <v>50</v>
      </c>
      <c r="B59" s="56" t="s">
        <v>46</v>
      </c>
      <c r="C59" s="56" t="str">
        <f>VLOOKUP(B59,'country codes'!$A$3:$B$287,2,0)</f>
        <v>AZE</v>
      </c>
      <c r="D59" s="98" t="str">
        <f t="shared" si="3"/>
        <v>2019AZE</v>
      </c>
      <c r="E59" s="56">
        <v>7</v>
      </c>
      <c r="F59" s="63">
        <f>VLOOKUP($D59,'All data'!$E$2:$M$2281,2,0)</f>
        <v>10047.718999999999</v>
      </c>
      <c r="G59" s="63">
        <f>VLOOKUP($D59,'All data'!$E$2:$M$2281,4,0)</f>
        <v>73</v>
      </c>
      <c r="H59" s="64">
        <f>VLOOKUP($D59,'All data'!$E$2:$M$2281,5,0)</f>
        <v>5.1733894348144531</v>
      </c>
      <c r="I59" s="64">
        <f>VLOOKUP($D59,'All data'!$E$2:$M$2281,6,0)</f>
        <v>1.9689407483016819</v>
      </c>
      <c r="J59" s="99">
        <f>VLOOKUP($D59,'All data'!$E$2:$M$2281,7,0)</f>
        <v>48.034540463377795</v>
      </c>
      <c r="K59" s="56">
        <f>VLOOKUP($C$5,'All data'!$G$2285:$J$2299,4,0)</f>
        <v>1.56</v>
      </c>
      <c r="L59" s="100">
        <f>VLOOKUP($D59,'All data'!$E$2:$M$2281,9,0)</f>
        <v>14402.463864316285</v>
      </c>
    </row>
    <row r="60" spans="1:12">
      <c r="A60" s="97">
        <f t="shared" si="2"/>
        <v>51</v>
      </c>
      <c r="B60" s="56" t="s">
        <v>41</v>
      </c>
      <c r="C60" s="56" t="str">
        <f>VLOOKUP(B60,'country codes'!$A$3:$B$287,2,0)</f>
        <v>KHM</v>
      </c>
      <c r="D60" s="98" t="str">
        <f t="shared" si="3"/>
        <v>2019KHM</v>
      </c>
      <c r="E60" s="56">
        <v>8</v>
      </c>
      <c r="F60" s="63">
        <f>VLOOKUP($D60,'All data'!$E$2:$M$2281,2,0)</f>
        <v>16486.542000000001</v>
      </c>
      <c r="G60" s="63">
        <f>VLOOKUP($D60,'All data'!$E$2:$M$2281,4,0)</f>
        <v>69.8</v>
      </c>
      <c r="H60" s="64">
        <f>VLOOKUP($D60,'All data'!$E$2:$M$2281,5,0)</f>
        <v>4.9982848167419434</v>
      </c>
      <c r="I60" s="64">
        <f>VLOOKUP($D60,'All data'!$E$2:$M$2281,6,0)</f>
        <v>1.3646662841235468</v>
      </c>
      <c r="J60" s="99">
        <f>VLOOKUP($D60,'All data'!$E$2:$M$2281,7,0)</f>
        <v>47.967451027020694</v>
      </c>
      <c r="K60" s="56">
        <f>VLOOKUP($C$5,'All data'!$G$2285:$J$2299,4,0)</f>
        <v>1.56</v>
      </c>
      <c r="L60" s="100">
        <f>VLOOKUP($D60,'All data'!$E$2:$M$2281,9,0)</f>
        <v>4388.8009086325137</v>
      </c>
    </row>
    <row r="61" spans="1:12">
      <c r="A61" s="97">
        <f t="shared" si="2"/>
        <v>52</v>
      </c>
      <c r="B61" s="56" t="s">
        <v>81</v>
      </c>
      <c r="C61" s="56" t="str">
        <f>VLOOKUP(B61,'country codes'!$A$3:$B$287,2,0)</f>
        <v>ISL</v>
      </c>
      <c r="D61" s="98" t="str">
        <f t="shared" si="3"/>
        <v>2019ISL</v>
      </c>
      <c r="E61" s="56">
        <v>3</v>
      </c>
      <c r="F61" s="63">
        <f>VLOOKUP($D61,'All data'!$E$2:$M$2281,2,0)</f>
        <v>339.03699999999998</v>
      </c>
      <c r="G61" s="63">
        <f>VLOOKUP($D61,'All data'!$E$2:$M$2281,4,0)</f>
        <v>83</v>
      </c>
      <c r="H61" s="64">
        <f>VLOOKUP($D61,'All data'!$E$2:$M$2281,5,0)</f>
        <v>7.5325045585632324</v>
      </c>
      <c r="I61" s="64">
        <f>VLOOKUP($D61,'All data'!$E$2:$M$2281,6,0)</f>
        <v>6.4553066679971369</v>
      </c>
      <c r="J61" s="99">
        <f>VLOOKUP($D61,'All data'!$E$2:$M$2281,7,0)</f>
        <v>47.956885192056575</v>
      </c>
      <c r="K61" s="56">
        <f>VLOOKUP($C$5,'All data'!$G$2285:$J$2299,4,0)</f>
        <v>1.56</v>
      </c>
      <c r="L61" s="100">
        <f>VLOOKUP($D61,'All data'!$E$2:$M$2281,9,0)</f>
        <v>55699.716390296955</v>
      </c>
    </row>
    <row r="62" spans="1:12">
      <c r="A62" s="97">
        <f t="shared" si="2"/>
        <v>53</v>
      </c>
      <c r="B62" s="56" t="s">
        <v>67</v>
      </c>
      <c r="C62" s="56" t="str">
        <f>VLOOKUP(B62,'country codes'!$A$3:$B$287,2,0)</f>
        <v>SVN</v>
      </c>
      <c r="D62" s="98" t="str">
        <f t="shared" si="3"/>
        <v>2019SVN</v>
      </c>
      <c r="E62" s="56">
        <v>7</v>
      </c>
      <c r="F62" s="63">
        <f>VLOOKUP($D62,'All data'!$E$2:$M$2281,2,0)</f>
        <v>2078.654</v>
      </c>
      <c r="G62" s="63">
        <f>VLOOKUP($D62,'All data'!$E$2:$M$2281,4,0)</f>
        <v>81.3</v>
      </c>
      <c r="H62" s="64">
        <f>VLOOKUP($D62,'All data'!$E$2:$M$2281,5,0)</f>
        <v>6.6652736663818359</v>
      </c>
      <c r="I62" s="64">
        <f>VLOOKUP($D62,'All data'!$E$2:$M$2281,6,0)</f>
        <v>5.0457649780817047</v>
      </c>
      <c r="J62" s="99">
        <f>VLOOKUP($D62,'All data'!$E$2:$M$2281,7,0)</f>
        <v>47.884547878444458</v>
      </c>
      <c r="K62" s="56">
        <f>VLOOKUP($C$5,'All data'!$G$2285:$J$2299,4,0)</f>
        <v>1.56</v>
      </c>
      <c r="L62" s="100">
        <f>VLOOKUP($D62,'All data'!$E$2:$M$2281,9,0)</f>
        <v>39029.725786859643</v>
      </c>
    </row>
    <row r="63" spans="1:12">
      <c r="A63" s="97">
        <f t="shared" si="2"/>
        <v>54</v>
      </c>
      <c r="B63" s="56" t="s">
        <v>66</v>
      </c>
      <c r="C63" s="56" t="str">
        <f>VLOOKUP(B63,'country codes'!$A$3:$B$287,2,0)</f>
        <v>BIH</v>
      </c>
      <c r="D63" s="98" t="str">
        <f t="shared" si="3"/>
        <v>2019BIH</v>
      </c>
      <c r="E63" s="56">
        <v>7</v>
      </c>
      <c r="F63" s="63">
        <f>VLOOKUP($D63,'All data'!$E$2:$M$2281,2,0)</f>
        <v>3300.998</v>
      </c>
      <c r="G63" s="63">
        <f>VLOOKUP($D63,'All data'!$E$2:$M$2281,4,0)</f>
        <v>77.400000000000006</v>
      </c>
      <c r="H63" s="64">
        <f>VLOOKUP($D63,'All data'!$E$2:$M$2281,5,0)</f>
        <v>6.0155224800109863</v>
      </c>
      <c r="I63" s="64">
        <f>VLOOKUP($D63,'All data'!$E$2:$M$2281,6,0)</f>
        <v>3.6483050944700017</v>
      </c>
      <c r="J63" s="99">
        <f>VLOOKUP($D63,'All data'!$E$2:$M$2281,7,0)</f>
        <v>47.781039444186241</v>
      </c>
      <c r="K63" s="56">
        <f>VLOOKUP($C$5,'All data'!$G$2285:$J$2299,4,0)</f>
        <v>1.56</v>
      </c>
      <c r="L63" s="100">
        <f>VLOOKUP($D63,'All data'!$E$2:$M$2281,9,0)</f>
        <v>14922.148511951043</v>
      </c>
    </row>
    <row r="64" spans="1:12">
      <c r="A64" s="97">
        <f t="shared" si="2"/>
        <v>55</v>
      </c>
      <c r="B64" s="56" t="s">
        <v>61</v>
      </c>
      <c r="C64" s="56" t="str">
        <f>VLOOKUP(B64,'country codes'!$A$3:$B$287,2,0)</f>
        <v>PRY</v>
      </c>
      <c r="D64" s="98" t="str">
        <f t="shared" si="3"/>
        <v>2019PRY</v>
      </c>
      <c r="E64" s="56">
        <v>1</v>
      </c>
      <c r="F64" s="63">
        <f>VLOOKUP($D64,'All data'!$E$2:$M$2281,2,0)</f>
        <v>7044.6390000000001</v>
      </c>
      <c r="G64" s="63">
        <f>VLOOKUP($D64,'All data'!$E$2:$M$2281,4,0)</f>
        <v>74.3</v>
      </c>
      <c r="H64" s="64">
        <f>VLOOKUP($D64,'All data'!$E$2:$M$2281,5,0)</f>
        <v>5.652625560760498</v>
      </c>
      <c r="I64" s="64">
        <f>VLOOKUP($D64,'All data'!$E$2:$M$2281,6,0)</f>
        <v>2.7957803760000517</v>
      </c>
      <c r="J64" s="99">
        <f>VLOOKUP($D64,'All data'!$E$2:$M$2281,7,0)</f>
        <v>47.603055927162082</v>
      </c>
      <c r="K64" s="56">
        <f>VLOOKUP($C$5,'All data'!$G$2285:$J$2299,4,0)</f>
        <v>1.56</v>
      </c>
      <c r="L64" s="100">
        <f>VLOOKUP($D64,'All data'!$E$2:$M$2281,9,0)</f>
        <v>12685.113399749791</v>
      </c>
    </row>
    <row r="65" spans="1:12">
      <c r="A65" s="97">
        <f t="shared" si="2"/>
        <v>56</v>
      </c>
      <c r="B65" s="56" t="s">
        <v>43</v>
      </c>
      <c r="C65" s="56" t="str">
        <f>VLOOKUP(B65,'country codes'!$A$3:$B$287,2,0)</f>
        <v>COG</v>
      </c>
      <c r="D65" s="98" t="str">
        <f t="shared" si="3"/>
        <v>2019COG</v>
      </c>
      <c r="E65" s="56">
        <v>5</v>
      </c>
      <c r="F65" s="63">
        <f>VLOOKUP($D65,'All data'!$E$2:$M$2281,2,0)</f>
        <v>5380.5039999999999</v>
      </c>
      <c r="G65" s="63">
        <f>VLOOKUP($D65,'All data'!$E$2:$M$2281,4,0)</f>
        <v>64.599999999999994</v>
      </c>
      <c r="H65" s="64">
        <f>VLOOKUP($D65,'All data'!$E$2:$M$2281,5,0)</f>
        <v>5.2126226425170898</v>
      </c>
      <c r="I65" s="64">
        <f>VLOOKUP($D65,'All data'!$E$2:$M$2281,6,0)</f>
        <v>1.0486996381720393</v>
      </c>
      <c r="J65" s="99">
        <f>VLOOKUP($D65,'All data'!$E$2:$M$2281,7,0)</f>
        <v>47.157447466520544</v>
      </c>
      <c r="K65" s="56">
        <f>VLOOKUP($C$5,'All data'!$G$2285:$J$2299,4,0)</f>
        <v>1.56</v>
      </c>
      <c r="L65" s="100">
        <f>VLOOKUP($D65,'All data'!$E$2:$M$2281,9,0)</f>
        <v>3673.1178271565282</v>
      </c>
    </row>
    <row r="66" spans="1:12">
      <c r="A66" s="97">
        <f t="shared" si="2"/>
        <v>57</v>
      </c>
      <c r="B66" s="56" t="s">
        <v>75</v>
      </c>
      <c r="C66" s="56" t="str">
        <f>VLOOKUP(B66,'country codes'!$A$3:$B$287,2,0)</f>
        <v>JPN</v>
      </c>
      <c r="D66" s="98" t="str">
        <f t="shared" si="3"/>
        <v>2019JPN</v>
      </c>
      <c r="E66" s="56">
        <v>8</v>
      </c>
      <c r="F66" s="63">
        <f>VLOOKUP($D66,'All data'!$E$2:$M$2281,2,0)</f>
        <v>126860.299</v>
      </c>
      <c r="G66" s="63">
        <f>VLOOKUP($D66,'All data'!$E$2:$M$2281,4,0)</f>
        <v>84.6</v>
      </c>
      <c r="H66" s="64">
        <f>VLOOKUP($D66,'All data'!$E$2:$M$2281,5,0)</f>
        <v>5.9080390930175781</v>
      </c>
      <c r="I66" s="64">
        <f>VLOOKUP($D66,'All data'!$E$2:$M$2281,6,0)</f>
        <v>4.7109357541856829</v>
      </c>
      <c r="J66" s="99">
        <f>VLOOKUP($D66,'All data'!$E$2:$M$2281,7,0)</f>
        <v>47.063726179533759</v>
      </c>
      <c r="K66" s="56">
        <f>VLOOKUP($C$5,'All data'!$G$2285:$J$2299,4,0)</f>
        <v>1.56</v>
      </c>
      <c r="L66" s="100">
        <f>VLOOKUP($D66,'All data'!$E$2:$M$2281,9,0)</f>
        <v>41667.179095693136</v>
      </c>
    </row>
    <row r="67" spans="1:12">
      <c r="A67" s="97">
        <f t="shared" si="2"/>
        <v>58</v>
      </c>
      <c r="B67" s="56" t="s">
        <v>83</v>
      </c>
      <c r="C67" s="56" t="str">
        <f>VLOOKUP(B67,'country codes'!$A$3:$B$287,2,0)</f>
        <v>CZE</v>
      </c>
      <c r="D67" s="98" t="str">
        <f t="shared" si="3"/>
        <v>2019CZE</v>
      </c>
      <c r="E67" s="56">
        <v>7</v>
      </c>
      <c r="F67" s="63">
        <f>VLOOKUP($D67,'All data'!$E$2:$M$2281,2,0)</f>
        <v>10689.213</v>
      </c>
      <c r="G67" s="63">
        <f>VLOOKUP($D67,'All data'!$E$2:$M$2281,4,0)</f>
        <v>79.400000000000006</v>
      </c>
      <c r="H67" s="64">
        <f>VLOOKUP($D67,'All data'!$E$2:$M$2281,5,0)</f>
        <v>6.9656283855438232</v>
      </c>
      <c r="I67" s="64">
        <f>VLOOKUP($D67,'All data'!$E$2:$M$2281,6,0)</f>
        <v>5.4004318786094929</v>
      </c>
      <c r="J67" s="99">
        <f>VLOOKUP($D67,'All data'!$E$2:$M$2281,7,0)</f>
        <v>46.814496295046737</v>
      </c>
      <c r="K67" s="56">
        <f>VLOOKUP($C$5,'All data'!$G$2285:$J$2299,4,0)</f>
        <v>1.56</v>
      </c>
      <c r="L67" s="100">
        <f>VLOOKUP($D67,'All data'!$E$2:$M$2281,9,0)</f>
        <v>40828.0598371343</v>
      </c>
    </row>
    <row r="68" spans="1:12">
      <c r="A68" s="97">
        <f t="shared" si="2"/>
        <v>59</v>
      </c>
      <c r="B68" s="56" t="s">
        <v>88</v>
      </c>
      <c r="C68" s="56" t="str">
        <f>VLOOKUP(B68,'country codes'!$A$3:$B$287,2,0)</f>
        <v>AUT</v>
      </c>
      <c r="D68" s="98" t="str">
        <f t="shared" si="3"/>
        <v>2019AUT</v>
      </c>
      <c r="E68" s="56">
        <v>3</v>
      </c>
      <c r="F68" s="63">
        <f>VLOOKUP($D68,'All data'!$E$2:$M$2281,2,0)</f>
        <v>8955.1080000000002</v>
      </c>
      <c r="G68" s="63">
        <f>VLOOKUP($D68,'All data'!$E$2:$M$2281,4,0)</f>
        <v>81.5</v>
      </c>
      <c r="H68" s="64">
        <f>VLOOKUP($D68,'All data'!$E$2:$M$2281,5,0)</f>
        <v>7.1953611373901367</v>
      </c>
      <c r="I68" s="64">
        <f>VLOOKUP($D68,'All data'!$E$2:$M$2281,6,0)</f>
        <v>6.0545265295488688</v>
      </c>
      <c r="J68" s="99">
        <f>VLOOKUP($D68,'All data'!$E$2:$M$2281,7,0)</f>
        <v>46.81302886197124</v>
      </c>
      <c r="K68" s="56">
        <f>VLOOKUP($C$5,'All data'!$G$2285:$J$2299,4,0)</f>
        <v>1.56</v>
      </c>
      <c r="L68" s="100">
        <f>VLOOKUP($D68,'All data'!$E$2:$M$2281,9,0)</f>
        <v>56011.611221528561</v>
      </c>
    </row>
    <row r="69" spans="1:12">
      <c r="A69" s="97">
        <f t="shared" si="2"/>
        <v>60</v>
      </c>
      <c r="B69" s="56" t="s">
        <v>49</v>
      </c>
      <c r="C69" s="56" t="str">
        <f>VLOOKUP(B69,'country codes'!$A$3:$B$287,2,0)</f>
        <v>LKA</v>
      </c>
      <c r="D69" s="98" t="str">
        <f t="shared" si="3"/>
        <v>2019LKA</v>
      </c>
      <c r="E69" s="56">
        <v>6</v>
      </c>
      <c r="F69" s="63">
        <f>VLOOKUP($D69,'All data'!$E$2:$M$2281,2,0)</f>
        <v>21323.734</v>
      </c>
      <c r="G69" s="63">
        <f>VLOOKUP($D69,'All data'!$E$2:$M$2281,4,0)</f>
        <v>77</v>
      </c>
      <c r="H69" s="64">
        <f>VLOOKUP($D69,'All data'!$E$2:$M$2281,5,0)</f>
        <v>4.2132992744445801</v>
      </c>
      <c r="I69" s="64">
        <f>VLOOKUP($D69,'All data'!$E$2:$M$2281,6,0)</f>
        <v>1.5014919808054203</v>
      </c>
      <c r="J69" s="99">
        <f>VLOOKUP($D69,'All data'!$E$2:$M$2281,7,0)</f>
        <v>46.797116024230967</v>
      </c>
      <c r="K69" s="56">
        <f>VLOOKUP($C$5,'All data'!$G$2285:$J$2299,4,0)</f>
        <v>1.56</v>
      </c>
      <c r="L69" s="100">
        <f>VLOOKUP($D69,'All data'!$E$2:$M$2281,9,0)</f>
        <v>13078.098115072349</v>
      </c>
    </row>
    <row r="70" spans="1:12">
      <c r="A70" s="97">
        <f t="shared" si="2"/>
        <v>61</v>
      </c>
      <c r="B70" s="56" t="s">
        <v>76</v>
      </c>
      <c r="C70" s="56" t="str">
        <f>VLOOKUP(B70,'country codes'!$A$3:$B$287,2,0)</f>
        <v>SVK</v>
      </c>
      <c r="D70" s="98" t="str">
        <f t="shared" si="3"/>
        <v>2019SVK</v>
      </c>
      <c r="E70" s="56">
        <v>7</v>
      </c>
      <c r="F70" s="63">
        <f>VLOOKUP($D70,'All data'!$E$2:$M$2281,2,0)</f>
        <v>5457.0119999999997</v>
      </c>
      <c r="G70" s="63">
        <f>VLOOKUP($D70,'All data'!$E$2:$M$2281,4,0)</f>
        <v>77.5</v>
      </c>
      <c r="H70" s="64">
        <f>VLOOKUP($D70,'All data'!$E$2:$M$2281,5,0)</f>
        <v>6.2434287071228027</v>
      </c>
      <c r="I70" s="64">
        <f>VLOOKUP($D70,'All data'!$E$2:$M$2281,6,0)</f>
        <v>4.2171277948019679</v>
      </c>
      <c r="J70" s="99">
        <f>VLOOKUP($D70,'All data'!$E$2:$M$2281,7,0)</f>
        <v>46.574314058080866</v>
      </c>
      <c r="K70" s="56">
        <f>VLOOKUP($C$5,'All data'!$G$2285:$J$2299,4,0)</f>
        <v>1.56</v>
      </c>
      <c r="L70" s="100">
        <f>VLOOKUP($D70,'All data'!$E$2:$M$2281,9,0)</f>
        <v>31965.328474255752</v>
      </c>
    </row>
    <row r="71" spans="1:12">
      <c r="A71" s="97">
        <f t="shared" si="2"/>
        <v>62</v>
      </c>
      <c r="B71" s="56" t="s">
        <v>63</v>
      </c>
      <c r="C71" s="56" t="str">
        <f>VLOOKUP(B71,'country codes'!$A$3:$B$287,2,0)</f>
        <v>DZA</v>
      </c>
      <c r="D71" s="98" t="str">
        <f t="shared" si="3"/>
        <v>2019DZA</v>
      </c>
      <c r="E71" s="56">
        <v>4</v>
      </c>
      <c r="F71" s="63">
        <f>VLOOKUP($D71,'All data'!$E$2:$M$2281,2,0)</f>
        <v>43053.053999999996</v>
      </c>
      <c r="G71" s="63">
        <f>VLOOKUP($D71,'All data'!$E$2:$M$2281,4,0)</f>
        <v>76.900000000000006</v>
      </c>
      <c r="H71" s="64">
        <f>VLOOKUP($D71,'All data'!$E$2:$M$2281,5,0)</f>
        <v>4.7446274757385254</v>
      </c>
      <c r="I71" s="64">
        <f>VLOOKUP($D71,'All data'!$E$2:$M$2281,6,0)</f>
        <v>2.2231603803752966</v>
      </c>
      <c r="J71" s="99">
        <f>VLOOKUP($D71,'All data'!$E$2:$M$2281,7,0)</f>
        <v>46.488949506322719</v>
      </c>
      <c r="K71" s="56">
        <f>VLOOKUP($C$5,'All data'!$G$2285:$J$2299,4,0)</f>
        <v>1.56</v>
      </c>
      <c r="L71" s="100">
        <f>VLOOKUP($D71,'All data'!$E$2:$M$2281,9,0)</f>
        <v>11510.557088250287</v>
      </c>
    </row>
    <row r="72" spans="1:12">
      <c r="A72" s="97">
        <f t="shared" si="2"/>
        <v>63</v>
      </c>
      <c r="B72" s="56" t="s">
        <v>84</v>
      </c>
      <c r="C72" s="56" t="str">
        <f>VLOOKUP(B72,'country codes'!$A$3:$B$287,2,0)</f>
        <v>PRT</v>
      </c>
      <c r="D72" s="98" t="str">
        <f t="shared" si="3"/>
        <v>2019PRT</v>
      </c>
      <c r="E72" s="56">
        <v>3</v>
      </c>
      <c r="F72" s="63">
        <f>VLOOKUP($D72,'All data'!$E$2:$M$2281,2,0)</f>
        <v>10226.178</v>
      </c>
      <c r="G72" s="63">
        <f>VLOOKUP($D72,'All data'!$E$2:$M$2281,4,0)</f>
        <v>82</v>
      </c>
      <c r="H72" s="64">
        <f>VLOOKUP($D72,'All data'!$E$2:$M$2281,5,0)</f>
        <v>6.0954732894897461</v>
      </c>
      <c r="I72" s="64">
        <f>VLOOKUP($D72,'All data'!$E$2:$M$2281,6,0)</f>
        <v>4.7760211746471404</v>
      </c>
      <c r="J72" s="99">
        <f>VLOOKUP($D72,'All data'!$E$2:$M$2281,7,0)</f>
        <v>46.262932837762627</v>
      </c>
      <c r="K72" s="56">
        <f>VLOOKUP($C$5,'All data'!$G$2285:$J$2299,4,0)</f>
        <v>1.56</v>
      </c>
      <c r="L72" s="100">
        <f>VLOOKUP($D72,'All data'!$E$2:$M$2281,9,0)</f>
        <v>34904.685770528813</v>
      </c>
    </row>
    <row r="73" spans="1:12">
      <c r="A73" s="97">
        <f t="shared" si="2"/>
        <v>64</v>
      </c>
      <c r="B73" s="56" t="s">
        <v>77</v>
      </c>
      <c r="C73" s="56" t="str">
        <f>VLOOKUP(B73,'country codes'!$A$3:$B$287,2,0)</f>
        <v>ROU</v>
      </c>
      <c r="D73" s="98" t="str">
        <f t="shared" si="3"/>
        <v>2019ROU</v>
      </c>
      <c r="E73" s="56">
        <v>7</v>
      </c>
      <c r="F73" s="63">
        <f>VLOOKUP($D73,'All data'!$E$2:$M$2281,2,0)</f>
        <v>19364.558000000001</v>
      </c>
      <c r="G73" s="63">
        <f>VLOOKUP($D73,'All data'!$E$2:$M$2281,4,0)</f>
        <v>76</v>
      </c>
      <c r="H73" s="64">
        <f>VLOOKUP($D73,'All data'!$E$2:$M$2281,5,0)</f>
        <v>6.1299424171447754</v>
      </c>
      <c r="I73" s="64">
        <f>VLOOKUP($D73,'All data'!$E$2:$M$2281,6,0)</f>
        <v>3.9250044769353019</v>
      </c>
      <c r="J73" s="99">
        <f>VLOOKUP($D73,'All data'!$E$2:$M$2281,7,0)</f>
        <v>46.212274711575319</v>
      </c>
      <c r="K73" s="56">
        <f>VLOOKUP($C$5,'All data'!$G$2285:$J$2299,4,0)</f>
        <v>1.56</v>
      </c>
      <c r="L73" s="100">
        <f>VLOOKUP($D73,'All data'!$E$2:$M$2281,9,0)</f>
        <v>29968.575209263057</v>
      </c>
    </row>
    <row r="74" spans="1:12">
      <c r="A74" s="97">
        <f t="shared" ref="A74:A105" si="4">IFERROR(RANK(J74,$J$10:$J$161),"")</f>
        <v>65</v>
      </c>
      <c r="B74" s="56" t="s">
        <v>69</v>
      </c>
      <c r="C74" s="56" t="str">
        <f>VLOOKUP(B74,'country codes'!$A$3:$B$287,2,0)</f>
        <v>HRV</v>
      </c>
      <c r="D74" s="98" t="str">
        <f t="shared" ref="D74:D105" si="5">$C$5&amp;C74</f>
        <v>2019HRV</v>
      </c>
      <c r="E74" s="56">
        <v>7</v>
      </c>
      <c r="F74" s="63">
        <f>VLOOKUP($D74,'All data'!$E$2:$M$2281,2,0)</f>
        <v>4130.299</v>
      </c>
      <c r="G74" s="63">
        <f>VLOOKUP($D74,'All data'!$E$2:$M$2281,4,0)</f>
        <v>78.5</v>
      </c>
      <c r="H74" s="64">
        <f>VLOOKUP($D74,'All data'!$E$2:$M$2281,5,0)</f>
        <v>5.6257438659667969</v>
      </c>
      <c r="I74" s="64">
        <f>VLOOKUP($D74,'All data'!$E$2:$M$2281,6,0)</f>
        <v>3.641389840979266</v>
      </c>
      <c r="J74" s="99">
        <f>VLOOKUP($D74,'All data'!$E$2:$M$2281,7,0)</f>
        <v>46.208435465470494</v>
      </c>
      <c r="K74" s="56">
        <f>VLOOKUP($C$5,'All data'!$G$2285:$J$2299,4,0)</f>
        <v>1.56</v>
      </c>
      <c r="L74" s="100">
        <f>VLOOKUP($D74,'All data'!$E$2:$M$2281,9,0)</f>
        <v>28845.290467267307</v>
      </c>
    </row>
    <row r="75" spans="1:12">
      <c r="A75" s="97">
        <f t="shared" si="4"/>
        <v>66</v>
      </c>
      <c r="B75" s="56" t="s">
        <v>47</v>
      </c>
      <c r="C75" s="56" t="str">
        <f>VLOOKUP(B75,'country codes'!$A$3:$B$287,2,0)</f>
        <v>LBR</v>
      </c>
      <c r="D75" s="98" t="str">
        <f t="shared" si="5"/>
        <v>2019LBR</v>
      </c>
      <c r="E75" s="56">
        <v>5</v>
      </c>
      <c r="F75" s="63">
        <f>VLOOKUP($D75,'All data'!$E$2:$M$2281,2,0)</f>
        <v>4937.3739999999998</v>
      </c>
      <c r="G75" s="63">
        <f>VLOOKUP($D75,'All data'!$E$2:$M$2281,4,0)</f>
        <v>64.099999999999994</v>
      </c>
      <c r="H75" s="64">
        <f>VLOOKUP($D75,'All data'!$E$2:$M$2281,5,0)</f>
        <v>5.1214609146118164</v>
      </c>
      <c r="I75" s="64">
        <f>VLOOKUP($D75,'All data'!$E$2:$M$2281,6,0)</f>
        <v>1.0651465063456758</v>
      </c>
      <c r="J75" s="99">
        <f>VLOOKUP($D75,'All data'!$E$2:$M$2281,7,0)</f>
        <v>46.02253419757718</v>
      </c>
      <c r="K75" s="56">
        <f>VLOOKUP($C$5,'All data'!$G$2285:$J$2299,4,0)</f>
        <v>1.56</v>
      </c>
      <c r="L75" s="100">
        <f>VLOOKUP($D75,'All data'!$E$2:$M$2281,9,0)</f>
        <v>1427.8190899409017</v>
      </c>
    </row>
    <row r="76" spans="1:12">
      <c r="A76" s="97">
        <f t="shared" si="4"/>
        <v>67</v>
      </c>
      <c r="B76" s="56" t="s">
        <v>86</v>
      </c>
      <c r="C76" s="56" t="str">
        <f>VLOOKUP(B76,'country codes'!$A$3:$B$287,2,0)</f>
        <v>CHL</v>
      </c>
      <c r="D76" s="98" t="str">
        <f t="shared" si="5"/>
        <v>2019CHL</v>
      </c>
      <c r="E76" s="56">
        <v>1</v>
      </c>
      <c r="F76" s="63">
        <f>VLOOKUP($D76,'All data'!$E$2:$M$2281,2,0)</f>
        <v>18952.035</v>
      </c>
      <c r="G76" s="63">
        <f>VLOOKUP($D76,'All data'!$E$2:$M$2281,4,0)</f>
        <v>80.2</v>
      </c>
      <c r="H76" s="64">
        <f>VLOOKUP($D76,'All data'!$E$2:$M$2281,5,0)</f>
        <v>5.9422502517700195</v>
      </c>
      <c r="I76" s="64">
        <f>VLOOKUP($D76,'All data'!$E$2:$M$2281,6,0)</f>
        <v>4.4438007769509822</v>
      </c>
      <c r="J76" s="99">
        <f>VLOOKUP($D76,'All data'!$E$2:$M$2281,7,0)</f>
        <v>45.641239870318344</v>
      </c>
      <c r="K76" s="56">
        <f>VLOOKUP($C$5,'All data'!$G$2285:$J$2299,4,0)</f>
        <v>1.56</v>
      </c>
      <c r="L76" s="100">
        <f>VLOOKUP($D76,'All data'!$E$2:$M$2281,9,0)</f>
        <v>25131.464757515667</v>
      </c>
    </row>
    <row r="77" spans="1:12">
      <c r="A77" s="97">
        <f t="shared" si="4"/>
        <v>68</v>
      </c>
      <c r="B77" s="56" t="s">
        <v>95</v>
      </c>
      <c r="C77" s="56" t="str">
        <f>VLOOKUP(B77,'country codes'!$A$3:$B$287,2,0)</f>
        <v>SGP</v>
      </c>
      <c r="D77" s="98" t="str">
        <f t="shared" si="5"/>
        <v>2019SGP</v>
      </c>
      <c r="E77" s="56">
        <v>8</v>
      </c>
      <c r="F77" s="63">
        <f>VLOOKUP($D77,'All data'!$E$2:$M$2281,2,0)</f>
        <v>5804.3429999999998</v>
      </c>
      <c r="G77" s="63">
        <f>VLOOKUP($D77,'All data'!$E$2:$M$2281,4,0)</f>
        <v>83.6</v>
      </c>
      <c r="H77" s="64">
        <f>VLOOKUP($D77,'All data'!$E$2:$M$2281,5,0)</f>
        <v>6.3783597946166992</v>
      </c>
      <c r="I77" s="64">
        <f>VLOOKUP($D77,'All data'!$E$2:$M$2281,6,0)</f>
        <v>5.5988103157764186</v>
      </c>
      <c r="J77" s="99">
        <f>VLOOKUP($D77,'All data'!$E$2:$M$2281,7,0)</f>
        <v>45.549253887524877</v>
      </c>
      <c r="K77" s="56">
        <f>VLOOKUP($C$5,'All data'!$G$2285:$J$2299,4,0)</f>
        <v>1.56</v>
      </c>
      <c r="L77" s="100">
        <f>VLOOKUP($D77,'All data'!$E$2:$M$2281,9,0)</f>
        <v>97341.468645373126</v>
      </c>
    </row>
    <row r="78" spans="1:12">
      <c r="A78" s="97">
        <f t="shared" si="4"/>
        <v>69</v>
      </c>
      <c r="B78" s="56" t="s">
        <v>85</v>
      </c>
      <c r="C78" s="56" t="str">
        <f>VLOOKUP(B78,'country codes'!$A$3:$B$287,2,0)</f>
        <v>HUN</v>
      </c>
      <c r="D78" s="98" t="str">
        <f t="shared" si="5"/>
        <v>2019HUN</v>
      </c>
      <c r="E78" s="56">
        <v>7</v>
      </c>
      <c r="F78" s="63">
        <f>VLOOKUP($D78,'All data'!$E$2:$M$2281,2,0)</f>
        <v>9684.68</v>
      </c>
      <c r="G78" s="63">
        <f>VLOOKUP($D78,'All data'!$E$2:$M$2281,4,0)</f>
        <v>76.900000000000006</v>
      </c>
      <c r="H78" s="64">
        <f>VLOOKUP($D78,'All data'!$E$2:$M$2281,5,0)</f>
        <v>6.0002598762512207</v>
      </c>
      <c r="I78" s="64">
        <f>VLOOKUP($D78,'All data'!$E$2:$M$2281,6,0)</f>
        <v>4.0675590622557269</v>
      </c>
      <c r="J78" s="99">
        <f>VLOOKUP($D78,'All data'!$E$2:$M$2281,7,0)</f>
        <v>45.4464799797788</v>
      </c>
      <c r="K78" s="56">
        <f>VLOOKUP($C$5,'All data'!$G$2285:$J$2299,4,0)</f>
        <v>1.56</v>
      </c>
      <c r="L78" s="100">
        <f>VLOOKUP($D78,'All data'!$E$2:$M$2281,9,0)</f>
        <v>32639.508296179672</v>
      </c>
    </row>
    <row r="79" spans="1:12">
      <c r="A79" s="97">
        <f t="shared" si="4"/>
        <v>70</v>
      </c>
      <c r="B79" s="56" t="s">
        <v>101</v>
      </c>
      <c r="C79" s="56" t="str">
        <f>VLOOKUP(B79,'country codes'!$A$3:$B$287,2,0)</f>
        <v>DNK</v>
      </c>
      <c r="D79" s="98" t="str">
        <f t="shared" si="5"/>
        <v>2019DNK</v>
      </c>
      <c r="E79" s="56">
        <v>3</v>
      </c>
      <c r="F79" s="63">
        <f>VLOOKUP($D79,'All data'!$E$2:$M$2281,2,0)</f>
        <v>5771.8770000000004</v>
      </c>
      <c r="G79" s="63">
        <f>VLOOKUP($D79,'All data'!$E$2:$M$2281,4,0)</f>
        <v>80.900000000000006</v>
      </c>
      <c r="H79" s="64">
        <f>VLOOKUP($D79,'All data'!$E$2:$M$2281,5,0)</f>
        <v>7.6930031776428223</v>
      </c>
      <c r="I79" s="64">
        <f>VLOOKUP($D79,'All data'!$E$2:$M$2281,6,0)</f>
        <v>7.0472850907873363</v>
      </c>
      <c r="J79" s="99">
        <f>VLOOKUP($D79,'All data'!$E$2:$M$2281,7,0)</f>
        <v>45.326350008399586</v>
      </c>
      <c r="K79" s="56">
        <f>VLOOKUP($C$5,'All data'!$G$2285:$J$2299,4,0)</f>
        <v>1.56</v>
      </c>
      <c r="L79" s="100">
        <f>VLOOKUP($D79,'All data'!$E$2:$M$2281,9,0)</f>
        <v>57862.278278162426</v>
      </c>
    </row>
    <row r="80" spans="1:12">
      <c r="A80" s="97">
        <f t="shared" si="4"/>
        <v>71</v>
      </c>
      <c r="B80" s="56" t="s">
        <v>65</v>
      </c>
      <c r="C80" s="56" t="str">
        <f>VLOOKUP(B80,'country codes'!$A$3:$B$287,2,0)</f>
        <v>IRQ</v>
      </c>
      <c r="D80" s="98" t="str">
        <f t="shared" si="5"/>
        <v>2019IRQ</v>
      </c>
      <c r="E80" s="56">
        <v>4</v>
      </c>
      <c r="F80" s="63">
        <f>VLOOKUP($D80,'All data'!$E$2:$M$2281,2,0)</f>
        <v>39309.788999999997</v>
      </c>
      <c r="G80" s="63">
        <f>VLOOKUP($D80,'All data'!$E$2:$M$2281,4,0)</f>
        <v>70.599999999999994</v>
      </c>
      <c r="H80" s="64">
        <f>VLOOKUP($D80,'All data'!$E$2:$M$2281,5,0)</f>
        <v>4.8357830047607422</v>
      </c>
      <c r="I80" s="64">
        <f>VLOOKUP($D80,'All data'!$E$2:$M$2281,6,0)</f>
        <v>1.7369212207422728</v>
      </c>
      <c r="J80" s="99">
        <f>VLOOKUP($D80,'All data'!$E$2:$M$2281,7,0)</f>
        <v>45.278856669252789</v>
      </c>
      <c r="K80" s="56">
        <f>VLOOKUP($C$5,'All data'!$G$2285:$J$2299,4,0)</f>
        <v>1.56</v>
      </c>
      <c r="L80" s="100">
        <f>VLOOKUP($D80,'All data'!$E$2:$M$2281,9,0)</f>
        <v>10881.172086253004</v>
      </c>
    </row>
    <row r="81" spans="1:12">
      <c r="A81" s="97">
        <f t="shared" si="4"/>
        <v>72</v>
      </c>
      <c r="B81" s="56" t="s">
        <v>53</v>
      </c>
      <c r="C81" s="56" t="str">
        <f>VLOOKUP(B81,'country codes'!$A$3:$B$287,2,0)</f>
        <v>KEN</v>
      </c>
      <c r="D81" s="98" t="str">
        <f t="shared" si="5"/>
        <v>2019KEN</v>
      </c>
      <c r="E81" s="56">
        <v>5</v>
      </c>
      <c r="F81" s="63">
        <f>VLOOKUP($D81,'All data'!$E$2:$M$2281,2,0)</f>
        <v>52573.966999999997</v>
      </c>
      <c r="G81" s="63">
        <f>VLOOKUP($D81,'All data'!$E$2:$M$2281,4,0)</f>
        <v>66.7</v>
      </c>
      <c r="H81" s="64">
        <f>VLOOKUP($D81,'All data'!$E$2:$M$2281,5,0)</f>
        <v>4.6188502311706543</v>
      </c>
      <c r="I81" s="64">
        <f>VLOOKUP($D81,'All data'!$E$2:$M$2281,6,0)</f>
        <v>0.98710240933818705</v>
      </c>
      <c r="J81" s="99">
        <f>VLOOKUP($D81,'All data'!$E$2:$M$2281,7,0)</f>
        <v>45.182957782372362</v>
      </c>
      <c r="K81" s="56">
        <f>VLOOKUP($C$5,'All data'!$G$2285:$J$2299,4,0)</f>
        <v>1.56</v>
      </c>
      <c r="L81" s="100">
        <f>VLOOKUP($D81,'All data'!$E$2:$M$2281,9,0)</f>
        <v>4329.8713896863483</v>
      </c>
    </row>
    <row r="82" spans="1:12">
      <c r="A82" s="97">
        <f t="shared" si="4"/>
        <v>73</v>
      </c>
      <c r="B82" s="56" t="s">
        <v>51</v>
      </c>
      <c r="C82" s="56" t="str">
        <f>VLOOKUP(B82,'country codes'!$A$3:$B$287,2,0)</f>
        <v>PAK</v>
      </c>
      <c r="D82" s="98" t="str">
        <f t="shared" si="5"/>
        <v>2019PAK</v>
      </c>
      <c r="E82" s="56">
        <v>6</v>
      </c>
      <c r="F82" s="63">
        <f>VLOOKUP($D82,'All data'!$E$2:$M$2281,2,0)</f>
        <v>216565.31700000001</v>
      </c>
      <c r="G82" s="63">
        <f>VLOOKUP($D82,'All data'!$E$2:$M$2281,4,0)</f>
        <v>67.3</v>
      </c>
      <c r="H82" s="64">
        <f>VLOOKUP($D82,'All data'!$E$2:$M$2281,5,0)</f>
        <v>4.4427175521850586</v>
      </c>
      <c r="I82" s="64">
        <f>VLOOKUP($D82,'All data'!$E$2:$M$2281,6,0)</f>
        <v>0.87378538244388726</v>
      </c>
      <c r="J82" s="99">
        <f>VLOOKUP($D82,'All data'!$E$2:$M$2281,7,0)</f>
        <v>45.105441788433858</v>
      </c>
      <c r="K82" s="56">
        <f>VLOOKUP($C$5,'All data'!$G$2285:$J$2299,4,0)</f>
        <v>1.56</v>
      </c>
      <c r="L82" s="100">
        <f>VLOOKUP($D82,'All data'!$E$2:$M$2281,9,0)</f>
        <v>4690.4847549507413</v>
      </c>
    </row>
    <row r="83" spans="1:12">
      <c r="A83" s="97">
        <f t="shared" si="4"/>
        <v>74</v>
      </c>
      <c r="B83" s="56" t="s">
        <v>94</v>
      </c>
      <c r="C83" s="56" t="str">
        <f>VLOOKUP(B83,'country codes'!$A$3:$B$287,2,0)</f>
        <v>POL</v>
      </c>
      <c r="D83" s="98" t="str">
        <f t="shared" si="5"/>
        <v>2019POL</v>
      </c>
      <c r="E83" s="56">
        <v>7</v>
      </c>
      <c r="F83" s="63">
        <f>VLOOKUP($D83,'All data'!$E$2:$M$2281,2,0)</f>
        <v>37887.771000000001</v>
      </c>
      <c r="G83" s="63">
        <f>VLOOKUP($D83,'All data'!$E$2:$M$2281,4,0)</f>
        <v>78.7</v>
      </c>
      <c r="H83" s="64">
        <f>VLOOKUP($D83,'All data'!$E$2:$M$2281,5,0)</f>
        <v>6.2420940399169922</v>
      </c>
      <c r="I83" s="64">
        <f>VLOOKUP($D83,'All data'!$E$2:$M$2281,6,0)</f>
        <v>4.7700524140469698</v>
      </c>
      <c r="J83" s="99">
        <f>VLOOKUP($D83,'All data'!$E$2:$M$2281,7,0)</f>
        <v>45.022604895394188</v>
      </c>
      <c r="K83" s="56">
        <f>VLOOKUP($C$5,'All data'!$G$2285:$J$2299,4,0)</f>
        <v>1.56</v>
      </c>
      <c r="L83" s="100">
        <f>VLOOKUP($D83,'All data'!$E$2:$M$2281,9,0)</f>
        <v>33226.265918349367</v>
      </c>
    </row>
    <row r="84" spans="1:12">
      <c r="A84" s="97">
        <f t="shared" si="4"/>
        <v>75</v>
      </c>
      <c r="B84" s="56" t="s">
        <v>78</v>
      </c>
      <c r="C84" s="56" t="str">
        <f>VLOOKUP(B84,'country codes'!$A$3:$B$287,2,0)</f>
        <v>BOL</v>
      </c>
      <c r="D84" s="98" t="str">
        <f t="shared" si="5"/>
        <v>2019BOL</v>
      </c>
      <c r="E84" s="56">
        <v>1</v>
      </c>
      <c r="F84" s="63">
        <f>VLOOKUP($D84,'All data'!$E$2:$M$2281,2,0)</f>
        <v>11513.102000000001</v>
      </c>
      <c r="G84" s="63">
        <f>VLOOKUP($D84,'All data'!$E$2:$M$2281,4,0)</f>
        <v>71.5</v>
      </c>
      <c r="H84" s="64">
        <f>VLOOKUP($D84,'All data'!$E$2:$M$2281,5,0)</f>
        <v>5.6742706298828125</v>
      </c>
      <c r="I84" s="64">
        <f>VLOOKUP($D84,'All data'!$E$2:$M$2281,6,0)</f>
        <v>2.9403497459987857</v>
      </c>
      <c r="J84" s="99">
        <f>VLOOKUP($D84,'All data'!$E$2:$M$2281,7,0)</f>
        <v>44.999137814285262</v>
      </c>
      <c r="K84" s="56">
        <f>VLOOKUP($C$5,'All data'!$G$2285:$J$2299,4,0)</f>
        <v>1.56</v>
      </c>
      <c r="L84" s="100">
        <f>VLOOKUP($D84,'All data'!$E$2:$M$2281,9,0)</f>
        <v>8724.4757016381845</v>
      </c>
    </row>
    <row r="85" spans="1:12">
      <c r="A85" s="97">
        <f t="shared" si="4"/>
        <v>76</v>
      </c>
      <c r="B85" s="56" t="s">
        <v>56</v>
      </c>
      <c r="C85" s="56" t="str">
        <f>VLOOKUP(B85,'country codes'!$A$3:$B$287,2,0)</f>
        <v>UGA</v>
      </c>
      <c r="D85" s="98" t="str">
        <f t="shared" si="5"/>
        <v>2019UGA</v>
      </c>
      <c r="E85" s="56">
        <v>5</v>
      </c>
      <c r="F85" s="63">
        <f>VLOOKUP($D85,'All data'!$E$2:$M$2281,2,0)</f>
        <v>44269.587</v>
      </c>
      <c r="G85" s="63">
        <f>VLOOKUP($D85,'All data'!$E$2:$M$2281,4,0)</f>
        <v>63.4</v>
      </c>
      <c r="H85" s="64">
        <f>VLOOKUP($D85,'All data'!$E$2:$M$2281,5,0)</f>
        <v>4.9480514526367188</v>
      </c>
      <c r="I85" s="64">
        <f>VLOOKUP($D85,'All data'!$E$2:$M$2281,6,0)</f>
        <v>0.9858598901022767</v>
      </c>
      <c r="J85" s="99">
        <f>VLOOKUP($D85,'All data'!$E$2:$M$2281,7,0)</f>
        <v>44.769733433752847</v>
      </c>
      <c r="K85" s="56">
        <f>VLOOKUP($C$5,'All data'!$G$2285:$J$2299,4,0)</f>
        <v>1.56</v>
      </c>
      <c r="L85" s="100">
        <f>VLOOKUP($D85,'All data'!$E$2:$M$2281,9,0)</f>
        <v>2187.4648814310058</v>
      </c>
    </row>
    <row r="86" spans="1:12">
      <c r="A86" s="97">
        <f t="shared" si="4"/>
        <v>77</v>
      </c>
      <c r="B86" s="56" t="s">
        <v>48</v>
      </c>
      <c r="C86" s="56" t="str">
        <f>VLOOKUP(B86,'country codes'!$A$3:$B$287,2,0)</f>
        <v>YEM</v>
      </c>
      <c r="D86" s="98" t="str">
        <f t="shared" si="5"/>
        <v>2019YEM</v>
      </c>
      <c r="E86" s="56">
        <v>4</v>
      </c>
      <c r="F86" s="63">
        <f>VLOOKUP($D86,'All data'!$E$2:$M$2281,2,0)</f>
        <v>29161.921999999999</v>
      </c>
      <c r="G86" s="63">
        <f>VLOOKUP($D86,'All data'!$E$2:$M$2281,4,0)</f>
        <v>66.099999999999994</v>
      </c>
      <c r="H86" s="64">
        <f>VLOOKUP($D86,'All data'!$E$2:$M$2281,5,0)</f>
        <v>4.1969127655029297</v>
      </c>
      <c r="I86" s="64">
        <f>VLOOKUP($D86,'All data'!$E$2:$M$2281,6,0)</f>
        <v>0.5157489732987699</v>
      </c>
      <c r="J86" s="99">
        <f>VLOOKUP($D86,'All data'!$E$2:$M$2281,7,0)</f>
        <v>44.628433230875743</v>
      </c>
      <c r="K86" s="56">
        <f>VLOOKUP($C$5,'All data'!$G$2285:$J$2299,4,0)</f>
        <v>1.56</v>
      </c>
      <c r="L86" s="100" t="str">
        <f>VLOOKUP($D86,'All data'!$E$2:$M$2281,9,0)</f>
        <v>..</v>
      </c>
    </row>
    <row r="87" spans="1:12">
      <c r="A87" s="97">
        <f t="shared" si="4"/>
        <v>78</v>
      </c>
      <c r="B87" s="56" t="s">
        <v>79</v>
      </c>
      <c r="C87" s="56" t="str">
        <f>VLOOKUP(B87,'country codes'!$A$3:$B$287,2,0)</f>
        <v>GEO</v>
      </c>
      <c r="D87" s="98" t="str">
        <f t="shared" si="5"/>
        <v>2019GEO</v>
      </c>
      <c r="E87" s="56">
        <v>7</v>
      </c>
      <c r="F87" s="63">
        <f>VLOOKUP($D87,'All data'!$E$2:$M$2281,2,0)</f>
        <v>3996.7620000000002</v>
      </c>
      <c r="G87" s="63">
        <f>VLOOKUP($D87,'All data'!$E$2:$M$2281,4,0)</f>
        <v>73.8</v>
      </c>
      <c r="H87" s="64">
        <f>VLOOKUP($D87,'All data'!$E$2:$M$2281,5,0)</f>
        <v>4.8918356895446777</v>
      </c>
      <c r="I87" s="64">
        <f>VLOOKUP($D87,'All data'!$E$2:$M$2281,6,0)</f>
        <v>2.4283974419315175</v>
      </c>
      <c r="J87" s="99">
        <f>VLOOKUP($D87,'All data'!$E$2:$M$2281,7,0)</f>
        <v>44.272776197154954</v>
      </c>
      <c r="K87" s="56">
        <f>VLOOKUP($C$5,'All data'!$G$2285:$J$2299,4,0)</f>
        <v>1.56</v>
      </c>
      <c r="L87" s="100">
        <f>VLOOKUP($D87,'All data'!$E$2:$M$2281,9,0)</f>
        <v>14993.120442399377</v>
      </c>
    </row>
    <row r="88" spans="1:12">
      <c r="A88" s="97">
        <f t="shared" si="4"/>
        <v>79</v>
      </c>
      <c r="B88" s="56" t="s">
        <v>55</v>
      </c>
      <c r="C88" s="56" t="str">
        <f>VLOOKUP(B88,'country codes'!$A$3:$B$287,2,0)</f>
        <v>MOZ</v>
      </c>
      <c r="D88" s="98" t="str">
        <f t="shared" si="5"/>
        <v>2019MOZ</v>
      </c>
      <c r="E88" s="56">
        <v>5</v>
      </c>
      <c r="F88" s="63">
        <f>VLOOKUP($D88,'All data'!$E$2:$M$2281,2,0)</f>
        <v>30366.043000000001</v>
      </c>
      <c r="G88" s="63">
        <f>VLOOKUP($D88,'All data'!$E$2:$M$2281,4,0)</f>
        <v>60.9</v>
      </c>
      <c r="H88" s="64">
        <f>VLOOKUP($D88,'All data'!$E$2:$M$2281,5,0)</f>
        <v>4.9321327209472656</v>
      </c>
      <c r="I88" s="64">
        <f>VLOOKUP($D88,'All data'!$E$2:$M$2281,6,0)</f>
        <v>0.7209064581599478</v>
      </c>
      <c r="J88" s="99">
        <f>VLOOKUP($D88,'All data'!$E$2:$M$2281,7,0)</f>
        <v>44.188037983679315</v>
      </c>
      <c r="K88" s="56">
        <f>VLOOKUP($C$5,'All data'!$G$2285:$J$2299,4,0)</f>
        <v>1.56</v>
      </c>
      <c r="L88" s="100">
        <f>VLOOKUP($D88,'All data'!$E$2:$M$2281,9,0)</f>
        <v>1281.391835918266</v>
      </c>
    </row>
    <row r="89" spans="1:12">
      <c r="A89" s="97">
        <f t="shared" si="4"/>
        <v>80</v>
      </c>
      <c r="B89" s="56" t="s">
        <v>60</v>
      </c>
      <c r="C89" s="56" t="str">
        <f>VLOOKUP(B89,'country codes'!$A$3:$B$287,2,0)</f>
        <v>MDG</v>
      </c>
      <c r="D89" s="98" t="str">
        <f t="shared" si="5"/>
        <v>2019MDG</v>
      </c>
      <c r="E89" s="56">
        <v>5</v>
      </c>
      <c r="F89" s="63">
        <f>VLOOKUP($D89,'All data'!$E$2:$M$2281,2,0)</f>
        <v>26969.306</v>
      </c>
      <c r="G89" s="63">
        <f>VLOOKUP($D89,'All data'!$E$2:$M$2281,4,0)</f>
        <v>67</v>
      </c>
      <c r="H89" s="64">
        <f>VLOOKUP($D89,'All data'!$E$2:$M$2281,5,0)</f>
        <v>4.3390874862670898</v>
      </c>
      <c r="I89" s="64">
        <f>VLOOKUP($D89,'All data'!$E$2:$M$2281,6,0)</f>
        <v>0.86518582004339539</v>
      </c>
      <c r="J89" s="99">
        <f>VLOOKUP($D89,'All data'!$E$2:$M$2281,7,0)</f>
        <v>44.180654798038617</v>
      </c>
      <c r="K89" s="56">
        <f>VLOOKUP($C$5,'All data'!$G$2285:$J$2299,4,0)</f>
        <v>1.56</v>
      </c>
      <c r="L89" s="100">
        <f>VLOOKUP($D89,'All data'!$E$2:$M$2281,9,0)</f>
        <v>1647.0211603959276</v>
      </c>
    </row>
    <row r="90" spans="1:12">
      <c r="A90" s="97">
        <f t="shared" si="4"/>
        <v>81</v>
      </c>
      <c r="B90" s="56" t="s">
        <v>72</v>
      </c>
      <c r="C90" s="56" t="str">
        <f>VLOOKUP(B90,'country codes'!$A$3:$B$287,2,0)</f>
        <v>TUN</v>
      </c>
      <c r="D90" s="98" t="str">
        <f t="shared" si="5"/>
        <v>2019TUN</v>
      </c>
      <c r="E90" s="56">
        <v>4</v>
      </c>
      <c r="F90" s="63">
        <f>VLOOKUP($D90,'All data'!$E$2:$M$2281,2,0)</f>
        <v>11694.721</v>
      </c>
      <c r="G90" s="63">
        <f>VLOOKUP($D90,'All data'!$E$2:$M$2281,4,0)</f>
        <v>76.7</v>
      </c>
      <c r="H90" s="64">
        <f>VLOOKUP($D90,'All data'!$E$2:$M$2281,5,0)</f>
        <v>4.3154797554016113</v>
      </c>
      <c r="I90" s="64">
        <f>VLOOKUP($D90,'All data'!$E$2:$M$2281,6,0)</f>
        <v>2.1182638189748237</v>
      </c>
      <c r="J90" s="99">
        <f>VLOOKUP($D90,'All data'!$E$2:$M$2281,7,0)</f>
        <v>43.922534419156563</v>
      </c>
      <c r="K90" s="56">
        <f>VLOOKUP($C$5,'All data'!$G$2285:$J$2299,4,0)</f>
        <v>1.56</v>
      </c>
      <c r="L90" s="100">
        <f>VLOOKUP($D90,'All data'!$E$2:$M$2281,9,0)</f>
        <v>10755.608151954113</v>
      </c>
    </row>
    <row r="91" spans="1:12">
      <c r="A91" s="97">
        <f t="shared" si="4"/>
        <v>82</v>
      </c>
      <c r="B91" s="56" t="s">
        <v>87</v>
      </c>
      <c r="C91" s="56" t="str">
        <f>VLOOKUP(B91,'country codes'!$A$3:$B$287,2,0)</f>
        <v>MKD</v>
      </c>
      <c r="D91" s="98" t="str">
        <f t="shared" si="5"/>
        <v>2019MKD</v>
      </c>
      <c r="E91" s="56">
        <v>7</v>
      </c>
      <c r="F91" s="63">
        <f>VLOOKUP($D91,'All data'!$E$2:$M$2281,2,0)</f>
        <v>2083.4580000000001</v>
      </c>
      <c r="G91" s="63">
        <f>VLOOKUP($D91,'All data'!$E$2:$M$2281,4,0)</f>
        <v>75.8</v>
      </c>
      <c r="H91" s="64">
        <f>VLOOKUP($D91,'All data'!$E$2:$M$2281,5,0)</f>
        <v>5.0154852867126465</v>
      </c>
      <c r="I91" s="64">
        <f>VLOOKUP($D91,'All data'!$E$2:$M$2281,6,0)</f>
        <v>2.9533363530944388</v>
      </c>
      <c r="J91" s="99">
        <f>VLOOKUP($D91,'All data'!$E$2:$M$2281,7,0)</f>
        <v>43.858744207908252</v>
      </c>
      <c r="K91" s="56">
        <f>VLOOKUP($C$5,'All data'!$G$2285:$J$2299,4,0)</f>
        <v>1.56</v>
      </c>
      <c r="L91" s="100">
        <f>VLOOKUP($D91,'All data'!$E$2:$M$2281,9,0)</f>
        <v>16660.450109189525</v>
      </c>
    </row>
    <row r="92" spans="1:12">
      <c r="A92" s="97">
        <f t="shared" si="4"/>
        <v>83</v>
      </c>
      <c r="B92" s="56" t="s">
        <v>70</v>
      </c>
      <c r="C92" s="56" t="str">
        <f>VLOOKUP(B92,'country codes'!$A$3:$B$287,2,0)</f>
        <v>JOR</v>
      </c>
      <c r="D92" s="98" t="str">
        <f t="shared" si="5"/>
        <v>2019JOR</v>
      </c>
      <c r="E92" s="56">
        <v>4</v>
      </c>
      <c r="F92" s="63">
        <f>VLOOKUP($D92,'All data'!$E$2:$M$2281,2,0)</f>
        <v>10101.697</v>
      </c>
      <c r="G92" s="63">
        <f>VLOOKUP($D92,'All data'!$E$2:$M$2281,4,0)</f>
        <v>74.5</v>
      </c>
      <c r="H92" s="64">
        <f>VLOOKUP($D92,'All data'!$E$2:$M$2281,5,0)</f>
        <v>4.4525480270385742</v>
      </c>
      <c r="I92" s="64">
        <f>VLOOKUP($D92,'All data'!$E$2:$M$2281,6,0)</f>
        <v>2.0306311762701226</v>
      </c>
      <c r="J92" s="99">
        <f>VLOOKUP($D92,'All data'!$E$2:$M$2281,7,0)</f>
        <v>43.85457626023171</v>
      </c>
      <c r="K92" s="56">
        <f>VLOOKUP($C$5,'All data'!$G$2285:$J$2299,4,0)</f>
        <v>1.56</v>
      </c>
      <c r="L92" s="100">
        <f>VLOOKUP($D92,'All data'!$E$2:$M$2281,9,0)</f>
        <v>10071.382865765223</v>
      </c>
    </row>
    <row r="93" spans="1:12">
      <c r="A93" s="97">
        <f t="shared" si="4"/>
        <v>84</v>
      </c>
      <c r="B93" s="56" t="s">
        <v>92</v>
      </c>
      <c r="C93" s="56" t="str">
        <f>VLOOKUP(B93,'country codes'!$A$3:$B$287,2,0)</f>
        <v>IRN</v>
      </c>
      <c r="D93" s="98" t="str">
        <f t="shared" si="5"/>
        <v>2019IRN</v>
      </c>
      <c r="E93" s="56">
        <v>4</v>
      </c>
      <c r="F93" s="63">
        <f>VLOOKUP($D93,'All data'!$E$2:$M$2281,2,0)</f>
        <v>82913.892999999996</v>
      </c>
      <c r="G93" s="63">
        <f>VLOOKUP($D93,'All data'!$E$2:$M$2281,4,0)</f>
        <v>76.7</v>
      </c>
      <c r="H93" s="64">
        <f>VLOOKUP($D93,'All data'!$E$2:$M$2281,5,0)</f>
        <v>5.0061459541320801</v>
      </c>
      <c r="I93" s="64">
        <f>VLOOKUP($D93,'All data'!$E$2:$M$2281,6,0)</f>
        <v>3.1158975845270467</v>
      </c>
      <c r="J93" s="99">
        <f>VLOOKUP($D93,'All data'!$E$2:$M$2281,7,0)</f>
        <v>43.632487995990083</v>
      </c>
      <c r="K93" s="56">
        <f>VLOOKUP($C$5,'All data'!$G$2285:$J$2299,4,0)</f>
        <v>1.56</v>
      </c>
      <c r="L93" s="100">
        <f>VLOOKUP($D93,'All data'!$E$2:$M$2281,9,0)</f>
        <v>12389.221585267</v>
      </c>
    </row>
    <row r="94" spans="1:12">
      <c r="A94" s="97">
        <f t="shared" si="4"/>
        <v>85</v>
      </c>
      <c r="B94" s="56" t="s">
        <v>113</v>
      </c>
      <c r="C94" s="56" t="str">
        <f>VLOOKUP(B94,'country codes'!$A$3:$B$287,2,0)</f>
        <v>MLT</v>
      </c>
      <c r="D94" s="98" t="str">
        <f t="shared" si="5"/>
        <v>2019MLT</v>
      </c>
      <c r="E94" s="56">
        <v>3</v>
      </c>
      <c r="F94" s="63">
        <f>VLOOKUP($D94,'All data'!$E$2:$M$2281,2,0)</f>
        <v>440.37700000000001</v>
      </c>
      <c r="G94" s="63">
        <f>VLOOKUP($D94,'All data'!$E$2:$M$2281,4,0)</f>
        <v>82.5</v>
      </c>
      <c r="H94" s="64">
        <f>VLOOKUP($D94,'All data'!$E$2:$M$2281,5,0)</f>
        <v>6.7329773902893066</v>
      </c>
      <c r="I94" s="64">
        <f>VLOOKUP($D94,'All data'!$E$2:$M$2281,6,0)</f>
        <v>6.5016648875792544</v>
      </c>
      <c r="J94" s="99">
        <f>VLOOKUP($D94,'All data'!$E$2:$M$2281,7,0)</f>
        <v>43.502829195146695</v>
      </c>
      <c r="K94" s="56">
        <f>VLOOKUP($C$5,'All data'!$G$2285:$J$2299,4,0)</f>
        <v>1.56</v>
      </c>
      <c r="L94" s="100">
        <f>VLOOKUP($D94,'All data'!$E$2:$M$2281,9,0)</f>
        <v>43585.364860839945</v>
      </c>
    </row>
    <row r="95" spans="1:12">
      <c r="A95" s="97">
        <f t="shared" si="4"/>
        <v>86</v>
      </c>
      <c r="B95" s="56" t="s">
        <v>71</v>
      </c>
      <c r="C95" s="56" t="str">
        <f>VLOOKUP(B95,'country codes'!$A$3:$B$287,2,0)</f>
        <v>EGY</v>
      </c>
      <c r="D95" s="98" t="str">
        <f t="shared" si="5"/>
        <v>2019EGY</v>
      </c>
      <c r="E95" s="56">
        <v>4</v>
      </c>
      <c r="F95" s="63">
        <f>VLOOKUP($D95,'All data'!$E$2:$M$2281,2,0)</f>
        <v>100388.076</v>
      </c>
      <c r="G95" s="63">
        <f>VLOOKUP($D95,'All data'!$E$2:$M$2281,4,0)</f>
        <v>72</v>
      </c>
      <c r="H95" s="64">
        <f>VLOOKUP($D95,'All data'!$E$2:$M$2281,5,0)</f>
        <v>4.3278317451477051</v>
      </c>
      <c r="I95" s="64">
        <f>VLOOKUP($D95,'All data'!$E$2:$M$2281,6,0)</f>
        <v>1.6704070288709247</v>
      </c>
      <c r="J95" s="99">
        <f>VLOOKUP($D95,'All data'!$E$2:$M$2281,7,0)</f>
        <v>43.178438476681691</v>
      </c>
      <c r="K95" s="56">
        <f>VLOOKUP($C$5,'All data'!$G$2285:$J$2299,4,0)</f>
        <v>1.56</v>
      </c>
      <c r="L95" s="100">
        <f>VLOOKUP($D95,'All data'!$E$2:$M$2281,9,0)</f>
        <v>11763.253636488469</v>
      </c>
    </row>
    <row r="96" spans="1:12">
      <c r="A96" s="97">
        <f t="shared" si="4"/>
        <v>87</v>
      </c>
      <c r="B96" s="56" t="s">
        <v>114</v>
      </c>
      <c r="C96" s="56" t="str">
        <f>VLOOKUP(B96,'country codes'!$A$3:$B$287,2,0)</f>
        <v>TWN</v>
      </c>
      <c r="D96" s="98" t="str">
        <f t="shared" si="5"/>
        <v>2019TWN</v>
      </c>
      <c r="E96" s="56">
        <v>8</v>
      </c>
      <c r="F96" s="63">
        <f>VLOOKUP($D96,'All data'!$E$2:$M$2281,2,0)</f>
        <v>23773.881000000001</v>
      </c>
      <c r="G96" s="63">
        <f>VLOOKUP($D96,'All data'!$E$2:$M$2281,4,0)</f>
        <v>80.462699999999998</v>
      </c>
      <c r="H96" s="64">
        <f>VLOOKUP($D96,'All data'!$E$2:$M$2281,5,0)</f>
        <v>6.5370898246765137</v>
      </c>
      <c r="I96" s="64">
        <f>VLOOKUP($D96,'All data'!$E$2:$M$2281,6,0)</f>
        <v>5.9696349380290341</v>
      </c>
      <c r="J96" s="99">
        <f>VLOOKUP($D96,'All data'!$E$2:$M$2281,7,0)</f>
        <v>43.15363213694171</v>
      </c>
      <c r="K96" s="56">
        <f>VLOOKUP($C$5,'All data'!$G$2285:$J$2299,4,0)</f>
        <v>1.56</v>
      </c>
      <c r="L96" s="100" t="e">
        <f>VLOOKUP($D96,'All data'!$E$2:$M$2281,9,0)</f>
        <v>#N/A</v>
      </c>
    </row>
    <row r="97" spans="1:12">
      <c r="A97" s="97">
        <f t="shared" si="4"/>
        <v>88</v>
      </c>
      <c r="B97" s="56" t="s">
        <v>119</v>
      </c>
      <c r="C97" s="56" t="str">
        <f>VLOOKUP(B97,'country codes'!$A$3:$B$287,2,0)</f>
        <v>AUS</v>
      </c>
      <c r="D97" s="98" t="str">
        <f t="shared" si="5"/>
        <v>2019AUS</v>
      </c>
      <c r="E97" s="56">
        <v>2</v>
      </c>
      <c r="F97" s="63">
        <f>VLOOKUP($D97,'All data'!$E$2:$M$2281,2,0)</f>
        <v>25203.200000000001</v>
      </c>
      <c r="G97" s="63">
        <f>VLOOKUP($D97,'All data'!$E$2:$M$2281,4,0)</f>
        <v>83.4</v>
      </c>
      <c r="H97" s="64">
        <f>VLOOKUP($D97,'All data'!$E$2:$M$2281,5,0)</f>
        <v>7.2339949607849121</v>
      </c>
      <c r="I97" s="64">
        <f>VLOOKUP($D97,'All data'!$E$2:$M$2281,6,0)</f>
        <v>7.5251961808922738</v>
      </c>
      <c r="J97" s="99">
        <f>VLOOKUP($D97,'All data'!$E$2:$M$2281,7,0)</f>
        <v>43.114373380084693</v>
      </c>
      <c r="K97" s="56">
        <f>VLOOKUP($C$5,'All data'!$G$2285:$J$2299,4,0)</f>
        <v>1.56</v>
      </c>
      <c r="L97" s="100">
        <f>VLOOKUP($D97,'All data'!$E$2:$M$2281,9,0)</f>
        <v>49609.044033299717</v>
      </c>
    </row>
    <row r="98" spans="1:12">
      <c r="A98" s="97">
        <f t="shared" si="4"/>
        <v>89</v>
      </c>
      <c r="B98" s="56" t="s">
        <v>103</v>
      </c>
      <c r="C98" s="56" t="str">
        <f>VLOOKUP(B98,'country codes'!$A$3:$B$287,2,0)</f>
        <v>BLR</v>
      </c>
      <c r="D98" s="98" t="str">
        <f t="shared" si="5"/>
        <v>2019BLR</v>
      </c>
      <c r="E98" s="56">
        <v>7</v>
      </c>
      <c r="F98" s="63">
        <f>VLOOKUP($D98,'All data'!$E$2:$M$2281,2,0)</f>
        <v>9452.4089999999997</v>
      </c>
      <c r="G98" s="63">
        <f>VLOOKUP($D98,'All data'!$E$2:$M$2281,4,0)</f>
        <v>74.8</v>
      </c>
      <c r="H98" s="64">
        <f>VLOOKUP($D98,'All data'!$E$2:$M$2281,5,0)</f>
        <v>5.8214530944824219</v>
      </c>
      <c r="I98" s="64">
        <f>VLOOKUP($D98,'All data'!$E$2:$M$2281,6,0)</f>
        <v>4.110974951057873</v>
      </c>
      <c r="J98" s="99">
        <f>VLOOKUP($D98,'All data'!$E$2:$M$2281,7,0)</f>
        <v>42.887809524269713</v>
      </c>
      <c r="K98" s="56">
        <f>VLOOKUP($C$5,'All data'!$G$2285:$J$2299,4,0)</f>
        <v>1.56</v>
      </c>
      <c r="L98" s="100">
        <f>VLOOKUP($D98,'All data'!$E$2:$M$2281,9,0)</f>
        <v>19249.285475603112</v>
      </c>
    </row>
    <row r="99" spans="1:12">
      <c r="A99" s="97">
        <f t="shared" si="4"/>
        <v>90</v>
      </c>
      <c r="B99" s="56" t="s">
        <v>90</v>
      </c>
      <c r="C99" s="56" t="str">
        <f>VLOOKUP(B99,'country codes'!$A$3:$B$287,2,0)</f>
        <v>LAO</v>
      </c>
      <c r="D99" s="98" t="str">
        <f t="shared" si="5"/>
        <v>2019LAO</v>
      </c>
      <c r="E99" s="56">
        <v>8</v>
      </c>
      <c r="F99" s="63">
        <f>VLOOKUP($D99,'All data'!$E$2:$M$2281,2,0)</f>
        <v>7169.4560000000001</v>
      </c>
      <c r="G99" s="63">
        <f>VLOOKUP($D99,'All data'!$E$2:$M$2281,4,0)</f>
        <v>67.900000000000006</v>
      </c>
      <c r="H99" s="64">
        <f>VLOOKUP($D99,'All data'!$E$2:$M$2281,5,0)</f>
        <v>5.1968560218811035</v>
      </c>
      <c r="I99" s="64">
        <f>VLOOKUP($D99,'All data'!$E$2:$M$2281,6,0)</f>
        <v>2.2754189232750037</v>
      </c>
      <c r="J99" s="99">
        <f>VLOOKUP($D99,'All data'!$E$2:$M$2281,7,0)</f>
        <v>42.784201431550692</v>
      </c>
      <c r="K99" s="56">
        <f>VLOOKUP($C$5,'All data'!$G$2285:$J$2299,4,0)</f>
        <v>1.56</v>
      </c>
      <c r="L99" s="100">
        <f>VLOOKUP($D99,'All data'!$E$2:$M$2281,9,0)</f>
        <v>7826.3885949411379</v>
      </c>
    </row>
    <row r="100" spans="1:12">
      <c r="A100" s="97">
        <f t="shared" si="4"/>
        <v>91</v>
      </c>
      <c r="B100" s="56" t="s">
        <v>97</v>
      </c>
      <c r="C100" s="56" t="str">
        <f>VLOOKUP(B100,'country codes'!$A$3:$B$287,2,0)</f>
        <v>LBY</v>
      </c>
      <c r="D100" s="98" t="str">
        <f t="shared" si="5"/>
        <v>2019LBY</v>
      </c>
      <c r="E100" s="56">
        <v>4</v>
      </c>
      <c r="F100" s="63">
        <f>VLOOKUP($D100,'All data'!$E$2:$M$2281,2,0)</f>
        <v>6777.4530000000004</v>
      </c>
      <c r="G100" s="63">
        <f>VLOOKUP($D100,'All data'!$E$2:$M$2281,4,0)</f>
        <v>72.900000000000006</v>
      </c>
      <c r="H100" s="64">
        <f>VLOOKUP($D100,'All data'!$E$2:$M$2281,5,0)</f>
        <v>5.3302221298217773</v>
      </c>
      <c r="I100" s="64">
        <f>VLOOKUP($D100,'All data'!$E$2:$M$2281,6,0)</f>
        <v>3.2088797335118047</v>
      </c>
      <c r="J100" s="99">
        <f>VLOOKUP($D100,'All data'!$E$2:$M$2281,7,0)</f>
        <v>42.685434026239058</v>
      </c>
      <c r="K100" s="56">
        <f>VLOOKUP($C$5,'All data'!$G$2285:$J$2299,4,0)</f>
        <v>1.56</v>
      </c>
      <c r="L100" s="100">
        <f>VLOOKUP($D100,'All data'!$E$2:$M$2281,9,0)</f>
        <v>15174.164754308937</v>
      </c>
    </row>
    <row r="101" spans="1:12">
      <c r="A101" s="97">
        <f t="shared" si="4"/>
        <v>92</v>
      </c>
      <c r="B101" s="56" t="s">
        <v>120</v>
      </c>
      <c r="C101" s="56" t="str">
        <f>VLOOKUP(B101,'country codes'!$A$3:$B$287,2,0)</f>
        <v>BEL</v>
      </c>
      <c r="D101" s="98" t="str">
        <f t="shared" si="5"/>
        <v>2019BEL</v>
      </c>
      <c r="E101" s="56">
        <v>3</v>
      </c>
      <c r="F101" s="63">
        <f>VLOOKUP($D101,'All data'!$E$2:$M$2281,2,0)</f>
        <v>11539.325999999999</v>
      </c>
      <c r="G101" s="63">
        <f>VLOOKUP($D101,'All data'!$E$2:$M$2281,4,0)</f>
        <v>81.599999999999994</v>
      </c>
      <c r="H101" s="64">
        <f>VLOOKUP($D101,'All data'!$E$2:$M$2281,5,0)</f>
        <v>6.7721381187438965</v>
      </c>
      <c r="I101" s="64">
        <f>VLOOKUP($D101,'All data'!$E$2:$M$2281,6,0)</f>
        <v>6.6948537173538059</v>
      </c>
      <c r="J101" s="99">
        <f>VLOOKUP($D101,'All data'!$E$2:$M$2281,7,0)</f>
        <v>42.534972452838872</v>
      </c>
      <c r="K101" s="56">
        <f>VLOOKUP($C$5,'All data'!$G$2285:$J$2299,4,0)</f>
        <v>1.56</v>
      </c>
      <c r="L101" s="100">
        <f>VLOOKUP($D101,'All data'!$E$2:$M$2281,9,0)</f>
        <v>51830.746465683122</v>
      </c>
    </row>
    <row r="102" spans="1:12">
      <c r="A102" s="97">
        <f t="shared" si="4"/>
        <v>93</v>
      </c>
      <c r="B102" s="56" t="s">
        <v>68</v>
      </c>
      <c r="C102" s="56" t="str">
        <f>VLOOKUP(B102,'country codes'!$A$3:$B$287,2,0)</f>
        <v>COM</v>
      </c>
      <c r="D102" s="98" t="str">
        <f t="shared" si="5"/>
        <v>2019COM</v>
      </c>
      <c r="E102" s="56">
        <v>5</v>
      </c>
      <c r="F102" s="63">
        <f>VLOOKUP($D102,'All data'!$E$2:$M$2281,2,0)</f>
        <v>850.89099999999996</v>
      </c>
      <c r="G102" s="63">
        <f>VLOOKUP($D102,'All data'!$E$2:$M$2281,4,0)</f>
        <v>64.3</v>
      </c>
      <c r="H102" s="64">
        <f>VLOOKUP($D102,'All data'!$E$2:$M$2281,5,0)</f>
        <v>4.6086163520812988</v>
      </c>
      <c r="I102" s="64">
        <f>VLOOKUP($D102,'All data'!$E$2:$M$2281,6,0)</f>
        <v>1.1214702010168418</v>
      </c>
      <c r="J102" s="99">
        <f>VLOOKUP($D102,'All data'!$E$2:$M$2281,7,0)</f>
        <v>42.438603889603158</v>
      </c>
      <c r="K102" s="56">
        <f>VLOOKUP($C$5,'All data'!$G$2285:$J$2299,4,0)</f>
        <v>1.56</v>
      </c>
      <c r="L102" s="100">
        <f>VLOOKUP($D102,'All data'!$E$2:$M$2281,9,0)</f>
        <v>3059.5097045952607</v>
      </c>
    </row>
    <row r="103" spans="1:12">
      <c r="A103" s="97">
        <f t="shared" si="4"/>
        <v>94</v>
      </c>
      <c r="B103" s="56" t="s">
        <v>108</v>
      </c>
      <c r="C103" s="56" t="str">
        <f>VLOOKUP(B103,'country codes'!$A$3:$B$287,2,0)</f>
        <v>CHN</v>
      </c>
      <c r="D103" s="98" t="str">
        <f t="shared" si="5"/>
        <v>2019CHN</v>
      </c>
      <c r="E103" s="56">
        <v>8</v>
      </c>
      <c r="F103" s="63">
        <f>VLOOKUP($D103,'All data'!$E$2:$M$2281,2,0)</f>
        <v>1433783.692</v>
      </c>
      <c r="G103" s="63">
        <f>VLOOKUP($D103,'All data'!$E$2:$M$2281,4,0)</f>
        <v>76.900000000000006</v>
      </c>
      <c r="H103" s="64">
        <f>VLOOKUP($D103,'All data'!$E$2:$M$2281,5,0)</f>
        <v>5.1441202163696289</v>
      </c>
      <c r="I103" s="64">
        <f>VLOOKUP($D103,'All data'!$E$2:$M$2281,6,0)</f>
        <v>3.7371062164535815</v>
      </c>
      <c r="J103" s="99">
        <f>VLOOKUP($D103,'All data'!$E$2:$M$2281,7,0)</f>
        <v>41.88879498584113</v>
      </c>
      <c r="K103" s="56">
        <f>VLOOKUP($C$5,'All data'!$G$2285:$J$2299,4,0)</f>
        <v>1.56</v>
      </c>
      <c r="L103" s="100">
        <f>VLOOKUP($D103,'All data'!$E$2:$M$2281,9,0)</f>
        <v>16092.300767048557</v>
      </c>
    </row>
    <row r="104" spans="1:12">
      <c r="A104" s="97">
        <f t="shared" si="4"/>
        <v>95</v>
      </c>
      <c r="B104" s="56" t="s">
        <v>112</v>
      </c>
      <c r="C104" s="56" t="str">
        <f>VLOOKUP(B104,'country codes'!$A$3:$B$287,2,0)</f>
        <v>MYS</v>
      </c>
      <c r="D104" s="98" t="str">
        <f t="shared" si="5"/>
        <v>2019MYS</v>
      </c>
      <c r="E104" s="56">
        <v>8</v>
      </c>
      <c r="F104" s="63">
        <f>VLOOKUP($D104,'All data'!$E$2:$M$2281,2,0)</f>
        <v>31949.789000000001</v>
      </c>
      <c r="G104" s="63">
        <f>VLOOKUP($D104,'All data'!$E$2:$M$2281,4,0)</f>
        <v>76.2</v>
      </c>
      <c r="H104" s="64">
        <f>VLOOKUP($D104,'All data'!$E$2:$M$2281,5,0)</f>
        <v>5.4279541969299316</v>
      </c>
      <c r="I104" s="64">
        <f>VLOOKUP($D104,'All data'!$E$2:$M$2281,6,0)</f>
        <v>4.0698480498095817</v>
      </c>
      <c r="J104" s="99">
        <f>VLOOKUP($D104,'All data'!$E$2:$M$2281,7,0)</f>
        <v>41.740737769743845</v>
      </c>
      <c r="K104" s="56">
        <f>VLOOKUP($C$5,'All data'!$G$2285:$J$2299,4,0)</f>
        <v>1.56</v>
      </c>
      <c r="L104" s="100">
        <f>VLOOKUP($D104,'All data'!$E$2:$M$2281,9,0)</f>
        <v>28364.486974559386</v>
      </c>
    </row>
    <row r="105" spans="1:12">
      <c r="A105" s="97">
        <f t="shared" si="4"/>
        <v>96</v>
      </c>
      <c r="B105" s="56" t="s">
        <v>73</v>
      </c>
      <c r="C105" s="56" t="str">
        <f>VLOOKUP(B105,'country codes'!$A$3:$B$287,2,0)</f>
        <v>ETH</v>
      </c>
      <c r="D105" s="98" t="str">
        <f t="shared" si="5"/>
        <v>2019ETH</v>
      </c>
      <c r="E105" s="56">
        <v>5</v>
      </c>
      <c r="F105" s="63">
        <f>VLOOKUP($D105,'All data'!$E$2:$M$2281,2,0)</f>
        <v>112078.727</v>
      </c>
      <c r="G105" s="63">
        <f>VLOOKUP($D105,'All data'!$E$2:$M$2281,4,0)</f>
        <v>66.599999999999994</v>
      </c>
      <c r="H105" s="64">
        <f>VLOOKUP($D105,'All data'!$E$2:$M$2281,5,0)</f>
        <v>4.0995550155639648</v>
      </c>
      <c r="I105" s="64">
        <f>VLOOKUP($D105,'All data'!$E$2:$M$2281,6,0)</f>
        <v>0.94108919235437549</v>
      </c>
      <c r="J105" s="99">
        <f>VLOOKUP($D105,'All data'!$E$2:$M$2281,7,0)</f>
        <v>41.728224389469922</v>
      </c>
      <c r="K105" s="56">
        <f>VLOOKUP($C$5,'All data'!$G$2285:$J$2299,4,0)</f>
        <v>1.56</v>
      </c>
      <c r="L105" s="100">
        <f>VLOOKUP($D105,'All data'!$E$2:$M$2281,9,0)</f>
        <v>2221.4046050694633</v>
      </c>
    </row>
    <row r="106" spans="1:12">
      <c r="A106" s="97">
        <f t="shared" ref="A106:A137" si="6">IFERROR(RANK(J106,$J$10:$J$161),"")</f>
        <v>97</v>
      </c>
      <c r="B106" s="56" t="s">
        <v>121</v>
      </c>
      <c r="C106" s="56" t="str">
        <f>VLOOKUP(B106,'country codes'!$A$3:$B$287,2,0)</f>
        <v>SAU</v>
      </c>
      <c r="D106" s="98" t="str">
        <f t="shared" ref="D106:D137" si="7">$C$5&amp;C106</f>
        <v>2019SAU</v>
      </c>
      <c r="E106" s="56">
        <v>4</v>
      </c>
      <c r="F106" s="63">
        <f>VLOOKUP($D106,'All data'!$E$2:$M$2281,2,0)</f>
        <v>34268.529000000002</v>
      </c>
      <c r="G106" s="63">
        <f>VLOOKUP($D106,'All data'!$E$2:$M$2281,4,0)</f>
        <v>75.099999999999994</v>
      </c>
      <c r="H106" s="64">
        <f>VLOOKUP($D106,'All data'!$E$2:$M$2281,5,0)</f>
        <v>6.5612473487854004</v>
      </c>
      <c r="I106" s="64">
        <f>VLOOKUP($D106,'All data'!$E$2:$M$2281,6,0)</f>
        <v>5.5165618917353942</v>
      </c>
      <c r="J106" s="99">
        <f>VLOOKUP($D106,'All data'!$E$2:$M$2281,7,0)</f>
        <v>41.612117063748101</v>
      </c>
      <c r="K106" s="56">
        <f>VLOOKUP($C$5,'All data'!$G$2285:$J$2299,4,0)</f>
        <v>1.56</v>
      </c>
      <c r="L106" s="100">
        <f>VLOOKUP($D106,'All data'!$E$2:$M$2281,9,0)</f>
        <v>46962.149056827024</v>
      </c>
    </row>
    <row r="107" spans="1:12">
      <c r="A107" s="97">
        <f t="shared" si="6"/>
        <v>98</v>
      </c>
      <c r="B107" s="56" t="s">
        <v>80</v>
      </c>
      <c r="C107" s="56" t="str">
        <f>VLOOKUP(B107,'country codes'!$A$3:$B$287,2,0)</f>
        <v>BFA</v>
      </c>
      <c r="D107" s="98" t="str">
        <f t="shared" si="7"/>
        <v>2019BFA</v>
      </c>
      <c r="E107" s="56">
        <v>5</v>
      </c>
      <c r="F107" s="63">
        <f>VLOOKUP($D107,'All data'!$E$2:$M$2281,2,0)</f>
        <v>20321.383000000002</v>
      </c>
      <c r="G107" s="63">
        <f>VLOOKUP($D107,'All data'!$E$2:$M$2281,4,0)</f>
        <v>61.6</v>
      </c>
      <c r="H107" s="64">
        <f>VLOOKUP($D107,'All data'!$E$2:$M$2281,5,0)</f>
        <v>4.7408928871154785</v>
      </c>
      <c r="I107" s="64">
        <f>VLOOKUP($D107,'All data'!$E$2:$M$2281,6,0)</f>
        <v>1.0569876374061702</v>
      </c>
      <c r="J107" s="99">
        <f>VLOOKUP($D107,'All data'!$E$2:$M$2281,7,0)</f>
        <v>41.538293974149596</v>
      </c>
      <c r="K107" s="56">
        <f>VLOOKUP($C$5,'All data'!$G$2285:$J$2299,4,0)</f>
        <v>1.56</v>
      </c>
      <c r="L107" s="100">
        <f>VLOOKUP($D107,'All data'!$E$2:$M$2281,9,0)</f>
        <v>2178.3234151006964</v>
      </c>
    </row>
    <row r="108" spans="1:12">
      <c r="A108" s="97">
        <f t="shared" si="6"/>
        <v>99</v>
      </c>
      <c r="B108" s="56" t="s">
        <v>89</v>
      </c>
      <c r="C108" s="56" t="str">
        <f>VLOOKUP(B108,'country codes'!$A$3:$B$287,2,0)</f>
        <v>BEN</v>
      </c>
      <c r="D108" s="98" t="str">
        <f t="shared" si="7"/>
        <v>2019BEN</v>
      </c>
      <c r="E108" s="56">
        <v>5</v>
      </c>
      <c r="F108" s="63">
        <f>VLOOKUP($D108,'All data'!$E$2:$M$2281,2,0)</f>
        <v>11801.151</v>
      </c>
      <c r="G108" s="63">
        <f>VLOOKUP($D108,'All data'!$E$2:$M$2281,4,0)</f>
        <v>61.8</v>
      </c>
      <c r="H108" s="64">
        <f>VLOOKUP($D108,'All data'!$E$2:$M$2281,5,0)</f>
        <v>4.9763607978820801</v>
      </c>
      <c r="I108" s="64">
        <f>VLOOKUP($D108,'All data'!$E$2:$M$2281,6,0)</f>
        <v>1.3883414238382501</v>
      </c>
      <c r="J108" s="99">
        <f>VLOOKUP($D108,'All data'!$E$2:$M$2281,7,0)</f>
        <v>41.371519670520549</v>
      </c>
      <c r="K108" s="56">
        <f>VLOOKUP($C$5,'All data'!$G$2285:$J$2299,4,0)</f>
        <v>1.56</v>
      </c>
      <c r="L108" s="100">
        <f>VLOOKUP($D108,'All data'!$E$2:$M$2281,9,0)</f>
        <v>3287.3095378149542</v>
      </c>
    </row>
    <row r="109" spans="1:12">
      <c r="A109" s="97">
        <f t="shared" si="6"/>
        <v>100</v>
      </c>
      <c r="B109" s="56" t="s">
        <v>91</v>
      </c>
      <c r="C109" s="56" t="str">
        <f>VLOOKUP(B109,'country codes'!$A$3:$B$287,2,0)</f>
        <v>NER</v>
      </c>
      <c r="D109" s="98" t="str">
        <f t="shared" si="7"/>
        <v>2019NER</v>
      </c>
      <c r="E109" s="56">
        <v>5</v>
      </c>
      <c r="F109" s="63">
        <f>VLOOKUP($D109,'All data'!$E$2:$M$2281,2,0)</f>
        <v>23310.719000000001</v>
      </c>
      <c r="G109" s="63">
        <f>VLOOKUP($D109,'All data'!$E$2:$M$2281,4,0)</f>
        <v>62.4</v>
      </c>
      <c r="H109" s="64">
        <f>VLOOKUP($D109,'All data'!$E$2:$M$2281,5,0)</f>
        <v>5.0035443305969238</v>
      </c>
      <c r="I109" s="64">
        <f>VLOOKUP($D109,'All data'!$E$2:$M$2281,6,0)</f>
        <v>1.5128105300239387</v>
      </c>
      <c r="J109" s="99">
        <f>VLOOKUP($D109,'All data'!$E$2:$M$2281,7,0)</f>
        <v>41.350912947923071</v>
      </c>
      <c r="K109" s="56">
        <f>VLOOKUP($C$5,'All data'!$G$2285:$J$2299,4,0)</f>
        <v>1.56</v>
      </c>
      <c r="L109" s="100">
        <f>VLOOKUP($D109,'All data'!$E$2:$M$2281,9,0)</f>
        <v>1224.5104716782571</v>
      </c>
    </row>
    <row r="110" spans="1:12">
      <c r="A110" s="97">
        <f t="shared" si="6"/>
        <v>101</v>
      </c>
      <c r="B110" s="56" t="s">
        <v>116</v>
      </c>
      <c r="C110" s="56" t="str">
        <f>VLOOKUP(B110,'country codes'!$A$3:$B$287,2,0)</f>
        <v>MNE</v>
      </c>
      <c r="D110" s="98" t="str">
        <f t="shared" si="7"/>
        <v>2019MNE</v>
      </c>
      <c r="E110" s="56">
        <v>7</v>
      </c>
      <c r="F110" s="63">
        <f>VLOOKUP($D110,'All data'!$E$2:$M$2281,2,0)</f>
        <v>627.98800000000006</v>
      </c>
      <c r="G110" s="63">
        <f>VLOOKUP($D110,'All data'!$E$2:$M$2281,4,0)</f>
        <v>76.900000000000006</v>
      </c>
      <c r="H110" s="64">
        <f>VLOOKUP($D110,'All data'!$E$2:$M$2281,5,0)</f>
        <v>5.3860249519348145</v>
      </c>
      <c r="I110" s="64">
        <f>VLOOKUP($D110,'All data'!$E$2:$M$2281,6,0)</f>
        <v>4.2227677818258522</v>
      </c>
      <c r="J110" s="99">
        <f>VLOOKUP($D110,'All data'!$E$2:$M$2281,7,0)</f>
        <v>41.330380294213107</v>
      </c>
      <c r="K110" s="56">
        <f>VLOOKUP($C$5,'All data'!$G$2285:$J$2299,4,0)</f>
        <v>1.56</v>
      </c>
      <c r="L110" s="100">
        <f>VLOOKUP($D110,'All data'!$E$2:$M$2281,9,0)</f>
        <v>21602.695682408812</v>
      </c>
    </row>
    <row r="111" spans="1:12">
      <c r="A111" s="97">
        <f t="shared" si="6"/>
        <v>102</v>
      </c>
      <c r="B111" s="56" t="s">
        <v>111</v>
      </c>
      <c r="C111" s="56" t="str">
        <f>VLOOKUP(B111,'country codes'!$A$3:$B$287,2,0)</f>
        <v>TUR</v>
      </c>
      <c r="D111" s="98" t="str">
        <f t="shared" si="7"/>
        <v>2019TUR</v>
      </c>
      <c r="E111" s="56">
        <v>4</v>
      </c>
      <c r="F111" s="63">
        <f>VLOOKUP($D111,'All data'!$E$2:$M$2281,2,0)</f>
        <v>83429.607000000004</v>
      </c>
      <c r="G111" s="63">
        <f>VLOOKUP($D111,'All data'!$E$2:$M$2281,4,0)</f>
        <v>77.7</v>
      </c>
      <c r="H111" s="64">
        <f>VLOOKUP($D111,'All data'!$E$2:$M$2281,5,0)</f>
        <v>4.8720736503601074</v>
      </c>
      <c r="I111" s="64">
        <f>VLOOKUP($D111,'All data'!$E$2:$M$2281,6,0)</f>
        <v>3.6100314357592334</v>
      </c>
      <c r="J111" s="99">
        <f>VLOOKUP($D111,'All data'!$E$2:$M$2281,7,0)</f>
        <v>41.282347982593301</v>
      </c>
      <c r="K111" s="56">
        <f>VLOOKUP($C$5,'All data'!$G$2285:$J$2299,4,0)</f>
        <v>1.56</v>
      </c>
      <c r="L111" s="100">
        <f>VLOOKUP($D111,'All data'!$E$2:$M$2281,9,0)</f>
        <v>28289.088796595399</v>
      </c>
    </row>
    <row r="112" spans="1:12">
      <c r="A112" s="97">
        <f t="shared" si="6"/>
        <v>103</v>
      </c>
      <c r="B112" s="56" t="s">
        <v>107</v>
      </c>
      <c r="C112" s="56" t="str">
        <f>VLOOKUP(B112,'country codes'!$A$3:$B$287,2,0)</f>
        <v>UKR</v>
      </c>
      <c r="D112" s="98" t="str">
        <f t="shared" si="7"/>
        <v>2019UKR</v>
      </c>
      <c r="E112" s="56">
        <v>7</v>
      </c>
      <c r="F112" s="63">
        <f>VLOOKUP($D112,'All data'!$E$2:$M$2281,2,0)</f>
        <v>43993.642999999996</v>
      </c>
      <c r="G112" s="63">
        <f>VLOOKUP($D112,'All data'!$E$2:$M$2281,4,0)</f>
        <v>72.099999999999994</v>
      </c>
      <c r="H112" s="64">
        <f>VLOOKUP($D112,'All data'!$E$2:$M$2281,5,0)</f>
        <v>4.7017621994018555</v>
      </c>
      <c r="I112" s="64">
        <f>VLOOKUP($D112,'All data'!$E$2:$M$2281,6,0)</f>
        <v>2.6432908080828525</v>
      </c>
      <c r="J112" s="99">
        <f>VLOOKUP($D112,'All data'!$E$2:$M$2281,7,0)</f>
        <v>40.902804423188925</v>
      </c>
      <c r="K112" s="56">
        <f>VLOOKUP($C$5,'All data'!$G$2285:$J$2299,4,0)</f>
        <v>1.56</v>
      </c>
      <c r="L112" s="100">
        <f>VLOOKUP($D112,'All data'!$E$2:$M$2281,9,0)</f>
        <v>12810.2894546923</v>
      </c>
    </row>
    <row r="113" spans="1:12">
      <c r="A113" s="97">
        <f t="shared" si="6"/>
        <v>104</v>
      </c>
      <c r="B113" s="56" t="s">
        <v>82</v>
      </c>
      <c r="C113" s="56" t="str">
        <f>VLOOKUP(B113,'country codes'!$A$3:$B$287,2,0)</f>
        <v>COD</v>
      </c>
      <c r="D113" s="98" t="str">
        <f t="shared" si="7"/>
        <v>2019COD</v>
      </c>
      <c r="E113" s="56">
        <v>5</v>
      </c>
      <c r="F113" s="63">
        <f>VLOOKUP($D113,'All data'!$E$2:$M$2281,2,0)</f>
        <v>86790.567999999999</v>
      </c>
      <c r="G113" s="63">
        <f>VLOOKUP($D113,'All data'!$E$2:$M$2281,4,0)</f>
        <v>60.7</v>
      </c>
      <c r="H113" s="64">
        <f>VLOOKUP($D113,'All data'!$E$2:$M$2281,5,0)</f>
        <v>4.4164843559265137</v>
      </c>
      <c r="I113" s="64">
        <f>VLOOKUP($D113,'All data'!$E$2:$M$2281,6,0)</f>
        <v>0.73384215015662257</v>
      </c>
      <c r="J113" s="99">
        <f>VLOOKUP($D113,'All data'!$E$2:$M$2281,7,0)</f>
        <v>40.529242055390114</v>
      </c>
      <c r="K113" s="56">
        <f>VLOOKUP($C$5,'All data'!$G$2285:$J$2299,4,0)</f>
        <v>1.56</v>
      </c>
      <c r="L113" s="100">
        <f>VLOOKUP($D113,'All data'!$E$2:$M$2281,9,0)</f>
        <v>1097.9488527659553</v>
      </c>
    </row>
    <row r="114" spans="1:12">
      <c r="A114" s="97">
        <f t="shared" si="6"/>
        <v>105</v>
      </c>
      <c r="B114" s="56" t="s">
        <v>130</v>
      </c>
      <c r="C114" s="56" t="str">
        <f>VLOOKUP(B114,'country codes'!$A$3:$B$287,2,0)</f>
        <v>CAN</v>
      </c>
      <c r="D114" s="98" t="str">
        <f t="shared" si="7"/>
        <v>2019CAN</v>
      </c>
      <c r="E114" s="56">
        <v>2</v>
      </c>
      <c r="F114" s="63">
        <f>VLOOKUP($D114,'All data'!$E$2:$M$2281,2,0)</f>
        <v>37411.038</v>
      </c>
      <c r="G114" s="63">
        <f>VLOOKUP($D114,'All data'!$E$2:$M$2281,4,0)</f>
        <v>82.4</v>
      </c>
      <c r="H114" s="64">
        <f>VLOOKUP($D114,'All data'!$E$2:$M$2281,5,0)</f>
        <v>7.1090764999389648</v>
      </c>
      <c r="I114" s="64">
        <f>VLOOKUP($D114,'All data'!$E$2:$M$2281,6,0)</f>
        <v>8.1454137316357613</v>
      </c>
      <c r="J114" s="99">
        <f>VLOOKUP($D114,'All data'!$E$2:$M$2281,7,0)</f>
        <v>40.183592485307749</v>
      </c>
      <c r="K114" s="56">
        <f>VLOOKUP($C$5,'All data'!$G$2285:$J$2299,4,0)</f>
        <v>1.56</v>
      </c>
      <c r="L114" s="100">
        <f>VLOOKUP($D114,'All data'!$E$2:$M$2281,9,0)</f>
        <v>48881.396751095221</v>
      </c>
    </row>
    <row r="115" spans="1:12">
      <c r="A115" s="97">
        <f t="shared" si="6"/>
        <v>106</v>
      </c>
      <c r="B115" s="56" t="s">
        <v>122</v>
      </c>
      <c r="C115" s="56" t="str">
        <f>VLOOKUP(B115,'country codes'!$A$3:$B$287,2,0)</f>
        <v>BGR</v>
      </c>
      <c r="D115" s="98" t="str">
        <f t="shared" si="7"/>
        <v>2019BGR</v>
      </c>
      <c r="E115" s="56">
        <v>7</v>
      </c>
      <c r="F115" s="63">
        <f>VLOOKUP($D115,'All data'!$E$2:$M$2281,2,0)</f>
        <v>7000.1170000000002</v>
      </c>
      <c r="G115" s="63">
        <f>VLOOKUP($D115,'All data'!$E$2:$M$2281,4,0)</f>
        <v>75</v>
      </c>
      <c r="H115" s="64">
        <f>VLOOKUP($D115,'All data'!$E$2:$M$2281,5,0)</f>
        <v>5.1084380149841309</v>
      </c>
      <c r="I115" s="64">
        <f>VLOOKUP($D115,'All data'!$E$2:$M$2281,6,0)</f>
        <v>3.8329884947918855</v>
      </c>
      <c r="J115" s="99">
        <f>VLOOKUP($D115,'All data'!$E$2:$M$2281,7,0)</f>
        <v>40.13077544955906</v>
      </c>
      <c r="K115" s="56">
        <f>VLOOKUP($C$5,'All data'!$G$2285:$J$2299,4,0)</f>
        <v>1.56</v>
      </c>
      <c r="L115" s="100">
        <f>VLOOKUP($D115,'All data'!$E$2:$M$2281,9,0)</f>
        <v>23265.62327294199</v>
      </c>
    </row>
    <row r="116" spans="1:12">
      <c r="A116" s="97">
        <f t="shared" si="6"/>
        <v>107</v>
      </c>
      <c r="B116" s="56" t="s">
        <v>102</v>
      </c>
      <c r="C116" s="56" t="str">
        <f>VLOOKUP(B116,'country codes'!$A$3:$B$287,2,0)</f>
        <v>MMR</v>
      </c>
      <c r="D116" s="98" t="str">
        <f t="shared" si="7"/>
        <v>2019MMR</v>
      </c>
      <c r="E116" s="56">
        <v>8</v>
      </c>
      <c r="F116" s="63">
        <f>VLOOKUP($D116,'All data'!$E$2:$M$2281,2,0)</f>
        <v>54045.421999999999</v>
      </c>
      <c r="G116" s="63">
        <f>VLOOKUP($D116,'All data'!$E$2:$M$2281,4,0)</f>
        <v>67.099999999999994</v>
      </c>
      <c r="H116" s="64">
        <f>VLOOKUP($D116,'All data'!$E$2:$M$2281,5,0)</f>
        <v>4.4342374801635742</v>
      </c>
      <c r="I116" s="64">
        <f>VLOOKUP($D116,'All data'!$E$2:$M$2281,6,0)</f>
        <v>1.7517451808513347</v>
      </c>
      <c r="J116" s="99">
        <f>VLOOKUP($D116,'All data'!$E$2:$M$2281,7,0)</f>
        <v>40.044790791516199</v>
      </c>
      <c r="K116" s="56">
        <f>VLOOKUP($C$5,'All data'!$G$2285:$J$2299,4,0)</f>
        <v>1.56</v>
      </c>
      <c r="L116" s="100">
        <f>VLOOKUP($D116,'All data'!$E$2:$M$2281,9,0)</f>
        <v>5142.1541655776391</v>
      </c>
    </row>
    <row r="117" spans="1:12">
      <c r="A117" s="97">
        <f t="shared" si="6"/>
        <v>108</v>
      </c>
      <c r="B117" s="56" t="s">
        <v>96</v>
      </c>
      <c r="C117" s="56" t="str">
        <f>VLOOKUP(B117,'country codes'!$A$3:$B$287,2,0)</f>
        <v>CMR</v>
      </c>
      <c r="D117" s="98" t="str">
        <f t="shared" si="7"/>
        <v>2019CMR</v>
      </c>
      <c r="E117" s="56">
        <v>5</v>
      </c>
      <c r="F117" s="63">
        <f>VLOOKUP($D117,'All data'!$E$2:$M$2281,2,0)</f>
        <v>25876.386999999999</v>
      </c>
      <c r="G117" s="63">
        <f>VLOOKUP($D117,'All data'!$E$2:$M$2281,4,0)</f>
        <v>59.3</v>
      </c>
      <c r="H117" s="64">
        <f>VLOOKUP($D117,'All data'!$E$2:$M$2281,5,0)</f>
        <v>4.9367375373840332</v>
      </c>
      <c r="I117" s="64">
        <f>VLOOKUP($D117,'All data'!$E$2:$M$2281,6,0)</f>
        <v>1.2442854475311607</v>
      </c>
      <c r="J117" s="99">
        <f>VLOOKUP($D117,'All data'!$E$2:$M$2281,7,0)</f>
        <v>39.908832363668367</v>
      </c>
      <c r="K117" s="56">
        <f>VLOOKUP($C$5,'All data'!$G$2285:$J$2299,4,0)</f>
        <v>1.56</v>
      </c>
      <c r="L117" s="100">
        <f>VLOOKUP($D117,'All data'!$E$2:$M$2281,9,0)</f>
        <v>3642.2772582676344</v>
      </c>
    </row>
    <row r="118" spans="1:12">
      <c r="A118" s="97">
        <f t="shared" si="6"/>
        <v>109</v>
      </c>
      <c r="B118" s="56" t="s">
        <v>109</v>
      </c>
      <c r="C118" s="56" t="str">
        <f>VLOOKUP(B118,'country codes'!$A$3:$B$287,2,0)</f>
        <v>GAB</v>
      </c>
      <c r="D118" s="98" t="str">
        <f t="shared" si="7"/>
        <v>2019GAB</v>
      </c>
      <c r="E118" s="56">
        <v>5</v>
      </c>
      <c r="F118" s="63">
        <f>VLOOKUP($D118,'All data'!$E$2:$M$2281,2,0)</f>
        <v>2172.578</v>
      </c>
      <c r="G118" s="63">
        <f>VLOOKUP($D118,'All data'!$E$2:$M$2281,4,0)</f>
        <v>66.5</v>
      </c>
      <c r="H118" s="64">
        <f>VLOOKUP($D118,'All data'!$E$2:$M$2281,5,0)</f>
        <v>4.914393424987793</v>
      </c>
      <c r="I118" s="64">
        <f>VLOOKUP($D118,'All data'!$E$2:$M$2281,6,0)</f>
        <v>2.323540263023038</v>
      </c>
      <c r="J118" s="99">
        <f>VLOOKUP($D118,'All data'!$E$2:$M$2281,7,0)</f>
        <v>39.864933613178131</v>
      </c>
      <c r="K118" s="56">
        <f>VLOOKUP($C$5,'All data'!$G$2285:$J$2299,4,0)</f>
        <v>1.56</v>
      </c>
      <c r="L118" s="100">
        <f>VLOOKUP($D118,'All data'!$E$2:$M$2281,9,0)</f>
        <v>14950.070197230678</v>
      </c>
    </row>
    <row r="119" spans="1:12">
      <c r="A119" s="97">
        <f t="shared" si="6"/>
        <v>110</v>
      </c>
      <c r="B119" s="101" t="s">
        <v>127</v>
      </c>
      <c r="C119" s="56" t="str">
        <f>VLOOKUP(B119,'country codes'!$A$3:$B$287,2,0)</f>
        <v>KOR</v>
      </c>
      <c r="D119" s="98" t="str">
        <f t="shared" si="7"/>
        <v>2019KOR</v>
      </c>
      <c r="E119" s="56">
        <v>8</v>
      </c>
      <c r="F119" s="63">
        <f>VLOOKUP($D119,'All data'!$E$2:$M$2281,2,0)</f>
        <v>51225.321000000004</v>
      </c>
      <c r="G119" s="63">
        <f>VLOOKUP($D119,'All data'!$E$2:$M$2281,4,0)</f>
        <v>83</v>
      </c>
      <c r="H119" s="64">
        <f>VLOOKUP($D119,'All data'!$E$2:$M$2281,5,0)</f>
        <v>5.9028167724609375</v>
      </c>
      <c r="I119" s="64">
        <f>VLOOKUP($D119,'All data'!$E$2:$M$2281,6,0)</f>
        <v>6.4465725387576835</v>
      </c>
      <c r="J119" s="99">
        <f>VLOOKUP($D119,'All data'!$E$2:$M$2281,7,0)</f>
        <v>39.819071490455286</v>
      </c>
      <c r="K119" s="56">
        <f>VLOOKUP($C$5,'All data'!$G$2285:$J$2299,4,0)</f>
        <v>1.56</v>
      </c>
      <c r="L119" s="100">
        <f>VLOOKUP($D119,'All data'!$E$2:$M$2281,9,0)</f>
        <v>42878.817297368725</v>
      </c>
    </row>
    <row r="120" spans="1:12">
      <c r="A120" s="97">
        <f t="shared" si="6"/>
        <v>111</v>
      </c>
      <c r="B120" s="56" t="s">
        <v>104</v>
      </c>
      <c r="C120" s="56" t="str">
        <f>VLOOKUP(B120,'country codes'!$A$3:$B$287,2,0)</f>
        <v>CIV</v>
      </c>
      <c r="D120" s="98" t="str">
        <f t="shared" si="7"/>
        <v>2019CIV</v>
      </c>
      <c r="E120" s="56">
        <v>5</v>
      </c>
      <c r="F120" s="63">
        <f>VLOOKUP($D120,'All data'!$E$2:$M$2281,2,0)</f>
        <v>25716.554</v>
      </c>
      <c r="G120" s="63">
        <f>VLOOKUP($D120,'All data'!$E$2:$M$2281,4,0)</f>
        <v>57.8</v>
      </c>
      <c r="H120" s="64">
        <f>VLOOKUP($D120,'All data'!$E$2:$M$2281,5,0)</f>
        <v>5.3920121192932129</v>
      </c>
      <c r="I120" s="64">
        <f>VLOOKUP($D120,'All data'!$E$2:$M$2281,6,0)</f>
        <v>1.5790173105464291</v>
      </c>
      <c r="J120" s="99">
        <f>VLOOKUP($D120,'All data'!$E$2:$M$2281,7,0)</f>
        <v>39.645871731894253</v>
      </c>
      <c r="K120" s="56">
        <f>VLOOKUP($C$5,'All data'!$G$2285:$J$2299,4,0)</f>
        <v>1.56</v>
      </c>
      <c r="L120" s="100">
        <f>VLOOKUP($D120,'All data'!$E$2:$M$2281,9,0)</f>
        <v>5212.5560483849331</v>
      </c>
    </row>
    <row r="121" spans="1:12">
      <c r="A121" s="97">
        <f t="shared" si="6"/>
        <v>112</v>
      </c>
      <c r="B121" s="56" t="s">
        <v>99</v>
      </c>
      <c r="C121" s="56" t="str">
        <f>VLOOKUP(B121,'country codes'!$A$3:$B$287,2,0)</f>
        <v>SDN</v>
      </c>
      <c r="D121" s="98" t="str">
        <f t="shared" si="7"/>
        <v>2019SDN</v>
      </c>
      <c r="E121" s="56">
        <v>5</v>
      </c>
      <c r="F121" s="63">
        <f>VLOOKUP($D121,'All data'!$E$2:$M$2281,2,0)</f>
        <v>42813.237000000001</v>
      </c>
      <c r="G121" s="63">
        <f>VLOOKUP($D121,'All data'!$E$2:$M$2281,4,0)</f>
        <v>65.3</v>
      </c>
      <c r="H121" s="64">
        <f>VLOOKUP($D121,'All data'!$E$2:$M$2281,5,0)</f>
        <v>4.2416294813156128</v>
      </c>
      <c r="I121" s="64">
        <f>VLOOKUP($D121,'All data'!$E$2:$M$2281,6,0)</f>
        <v>1.337276684244785</v>
      </c>
      <c r="J121" s="99">
        <f>VLOOKUP($D121,'All data'!$E$2:$M$2281,7,0)</f>
        <v>39.60313346635246</v>
      </c>
      <c r="K121" s="56">
        <f>VLOOKUP($C$5,'All data'!$G$2285:$J$2299,4,0)</f>
        <v>1.56</v>
      </c>
      <c r="L121" s="100">
        <f>VLOOKUP($D121,'All data'!$E$2:$M$2281,9,0)</f>
        <v>3958.4683896153101</v>
      </c>
    </row>
    <row r="122" spans="1:12">
      <c r="A122" s="97">
        <f t="shared" si="6"/>
        <v>113</v>
      </c>
      <c r="B122" s="56" t="s">
        <v>110</v>
      </c>
      <c r="C122" s="56" t="str">
        <f>VLOOKUP(B122,'country codes'!$A$3:$B$287,2,0)</f>
        <v>GHA</v>
      </c>
      <c r="D122" s="98" t="str">
        <f t="shared" si="7"/>
        <v>2019GHA</v>
      </c>
      <c r="E122" s="56">
        <v>5</v>
      </c>
      <c r="F122" s="63">
        <f>VLOOKUP($D122,'All data'!$E$2:$M$2281,2,0)</f>
        <v>30417.858</v>
      </c>
      <c r="G122" s="63">
        <f>VLOOKUP($D122,'All data'!$E$2:$M$2281,4,0)</f>
        <v>64.099999999999994</v>
      </c>
      <c r="H122" s="64">
        <f>VLOOKUP($D122,'All data'!$E$2:$M$2281,5,0)</f>
        <v>4.9668097496032715</v>
      </c>
      <c r="I122" s="64">
        <f>VLOOKUP($D122,'All data'!$E$2:$M$2281,6,0)</f>
        <v>2.0957146911331956</v>
      </c>
      <c r="J122" s="99">
        <f>VLOOKUP($D122,'All data'!$E$2:$M$2281,7,0)</f>
        <v>39.524734054705043</v>
      </c>
      <c r="K122" s="56">
        <f>VLOOKUP($C$5,'All data'!$G$2285:$J$2299,4,0)</f>
        <v>1.56</v>
      </c>
      <c r="L122" s="100">
        <f>VLOOKUP($D122,'All data'!$E$2:$M$2281,9,0)</f>
        <v>5412.6281216961579</v>
      </c>
    </row>
    <row r="123" spans="1:12">
      <c r="A123" s="97">
        <f t="shared" si="6"/>
        <v>114</v>
      </c>
      <c r="B123" s="56" t="s">
        <v>105</v>
      </c>
      <c r="C123" s="56" t="str">
        <f>VLOOKUP(B123,'country codes'!$A$3:$B$287,2,0)</f>
        <v>MLI</v>
      </c>
      <c r="D123" s="98" t="str">
        <f t="shared" si="7"/>
        <v>2019MLI</v>
      </c>
      <c r="E123" s="56">
        <v>5</v>
      </c>
      <c r="F123" s="63">
        <f>VLOOKUP($D123,'All data'!$E$2:$M$2281,2,0)</f>
        <v>19658.023000000001</v>
      </c>
      <c r="G123" s="63">
        <f>VLOOKUP($D123,'All data'!$E$2:$M$2281,4,0)</f>
        <v>59.3</v>
      </c>
      <c r="H123" s="64">
        <f>VLOOKUP($D123,'All data'!$E$2:$M$2281,5,0)</f>
        <v>4.9879918098449707</v>
      </c>
      <c r="I123" s="64">
        <f>VLOOKUP($D123,'All data'!$E$2:$M$2281,6,0)</f>
        <v>1.4141219063854871</v>
      </c>
      <c r="J123" s="99">
        <f>VLOOKUP($D123,'All data'!$E$2:$M$2281,7,0)</f>
        <v>39.341926861001156</v>
      </c>
      <c r="K123" s="56">
        <f>VLOOKUP($C$5,'All data'!$G$2285:$J$2299,4,0)</f>
        <v>1.56</v>
      </c>
      <c r="L123" s="100">
        <f>VLOOKUP($D123,'All data'!$E$2:$M$2281,9,0)</f>
        <v>2321.594445156471</v>
      </c>
    </row>
    <row r="124" spans="1:12">
      <c r="A124" s="97">
        <f t="shared" si="6"/>
        <v>115</v>
      </c>
      <c r="B124" s="56" t="s">
        <v>93</v>
      </c>
      <c r="C124" s="56" t="str">
        <f>VLOOKUP(B124,'country codes'!$A$3:$B$287,2,0)</f>
        <v>RWA</v>
      </c>
      <c r="D124" s="98" t="str">
        <f t="shared" si="7"/>
        <v>2019RWA</v>
      </c>
      <c r="E124" s="56">
        <v>5</v>
      </c>
      <c r="F124" s="63">
        <f>VLOOKUP($D124,'All data'!$E$2:$M$2281,2,0)</f>
        <v>12626.938</v>
      </c>
      <c r="G124" s="63">
        <f>VLOOKUP($D124,'All data'!$E$2:$M$2281,4,0)</f>
        <v>69</v>
      </c>
      <c r="H124" s="64">
        <f>VLOOKUP($D124,'All data'!$E$2:$M$2281,5,0)</f>
        <v>3.2681522369384766</v>
      </c>
      <c r="I124" s="64">
        <f>VLOOKUP($D124,'All data'!$E$2:$M$2281,6,0)</f>
        <v>0.60620496939409307</v>
      </c>
      <c r="J124" s="99">
        <f>VLOOKUP($D124,'All data'!$E$2:$M$2281,7,0)</f>
        <v>39.234484028971274</v>
      </c>
      <c r="K124" s="56">
        <f>VLOOKUP($C$5,'All data'!$G$2285:$J$2299,4,0)</f>
        <v>1.56</v>
      </c>
      <c r="L124" s="100">
        <f>VLOOKUP($D124,'All data'!$E$2:$M$2281,9,0)</f>
        <v>2226.8635708165434</v>
      </c>
    </row>
    <row r="125" spans="1:12">
      <c r="A125" s="97">
        <f t="shared" si="6"/>
        <v>116</v>
      </c>
      <c r="B125" s="56" t="s">
        <v>123</v>
      </c>
      <c r="C125" s="56" t="str">
        <f>VLOOKUP(B125,'country codes'!$A$3:$B$287,2,0)</f>
        <v>LBN</v>
      </c>
      <c r="D125" s="98" t="str">
        <f t="shared" si="7"/>
        <v>2019LBN</v>
      </c>
      <c r="E125" s="56">
        <v>4</v>
      </c>
      <c r="F125" s="63">
        <f>VLOOKUP($D125,'All data'!$E$2:$M$2281,2,0)</f>
        <v>6855.7089999999998</v>
      </c>
      <c r="G125" s="63">
        <f>VLOOKUP($D125,'All data'!$E$2:$M$2281,4,0)</f>
        <v>78.900000000000006</v>
      </c>
      <c r="H125" s="64">
        <f>VLOOKUP($D125,'All data'!$E$2:$M$2281,5,0)</f>
        <v>4.0242195129394531</v>
      </c>
      <c r="I125" s="64">
        <f>VLOOKUP($D125,'All data'!$E$2:$M$2281,6,0)</f>
        <v>3.0512948265371769</v>
      </c>
      <c r="J125" s="99">
        <f>VLOOKUP($D125,'All data'!$E$2:$M$2281,7,0)</f>
        <v>38.999831244693283</v>
      </c>
      <c r="K125" s="56">
        <f>VLOOKUP($C$5,'All data'!$G$2285:$J$2299,4,0)</f>
        <v>1.56</v>
      </c>
      <c r="L125" s="100">
        <f>VLOOKUP($D125,'All data'!$E$2:$M$2281,9,0)</f>
        <v>14551.585222077802</v>
      </c>
    </row>
    <row r="126" spans="1:12">
      <c r="A126" s="97">
        <f t="shared" si="6"/>
        <v>117</v>
      </c>
      <c r="B126" s="56" t="s">
        <v>100</v>
      </c>
      <c r="C126" s="56" t="str">
        <f>VLOOKUP(B126,'country codes'!$A$3:$B$287,2,0)</f>
        <v>MWI</v>
      </c>
      <c r="D126" s="98" t="str">
        <f t="shared" si="7"/>
        <v>2019MWI</v>
      </c>
      <c r="E126" s="56">
        <v>5</v>
      </c>
      <c r="F126" s="63">
        <f>VLOOKUP($D126,'All data'!$E$2:$M$2281,2,0)</f>
        <v>18628.749</v>
      </c>
      <c r="G126" s="63">
        <f>VLOOKUP($D126,'All data'!$E$2:$M$2281,4,0)</f>
        <v>64.3</v>
      </c>
      <c r="H126" s="64">
        <f>VLOOKUP($D126,'All data'!$E$2:$M$2281,5,0)</f>
        <v>3.8691236972808838</v>
      </c>
      <c r="I126" s="64">
        <f>VLOOKUP($D126,'All data'!$E$2:$M$2281,6,0)</f>
        <v>0.89311810044560169</v>
      </c>
      <c r="J126" s="99">
        <f>VLOOKUP($D126,'All data'!$E$2:$M$2281,7,0)</f>
        <v>38.706542320842196</v>
      </c>
      <c r="K126" s="56">
        <f>VLOOKUP($C$5,'All data'!$G$2285:$J$2299,4,0)</f>
        <v>1.56</v>
      </c>
      <c r="L126" s="100">
        <f>VLOOKUP($D126,'All data'!$E$2:$M$2281,9,0)</f>
        <v>1059.7234901098814</v>
      </c>
    </row>
    <row r="127" spans="1:12">
      <c r="A127" s="97">
        <f t="shared" si="6"/>
        <v>118</v>
      </c>
      <c r="B127" s="56" t="s">
        <v>131</v>
      </c>
      <c r="C127" s="56" t="str">
        <f>VLOOKUP(B127,'country codes'!$A$3:$B$287,2,0)</f>
        <v>KAZ</v>
      </c>
      <c r="D127" s="98" t="str">
        <f t="shared" si="7"/>
        <v>2019KAZ</v>
      </c>
      <c r="E127" s="56">
        <v>7</v>
      </c>
      <c r="F127" s="63">
        <f>VLOOKUP($D127,'All data'!$E$2:$M$2281,2,0)</f>
        <v>18551.428</v>
      </c>
      <c r="G127" s="63">
        <f>VLOOKUP($D127,'All data'!$E$2:$M$2281,4,0)</f>
        <v>73.599999999999994</v>
      </c>
      <c r="H127" s="64">
        <f>VLOOKUP($D127,'All data'!$E$2:$M$2281,5,0)</f>
        <v>6.2722682952880859</v>
      </c>
      <c r="I127" s="64">
        <f>VLOOKUP($D127,'All data'!$E$2:$M$2281,6,0)</f>
        <v>5.7186241708912204</v>
      </c>
      <c r="J127" s="99">
        <f>VLOOKUP($D127,'All data'!$E$2:$M$2281,7,0)</f>
        <v>38.64493232033265</v>
      </c>
      <c r="K127" s="56">
        <f>VLOOKUP($C$5,'All data'!$G$2285:$J$2299,4,0)</f>
        <v>1.56</v>
      </c>
      <c r="L127" s="100">
        <f>VLOOKUP($D127,'All data'!$E$2:$M$2281,9,0)</f>
        <v>26351.804441856802</v>
      </c>
    </row>
    <row r="128" spans="1:12">
      <c r="A128" s="97">
        <f t="shared" si="6"/>
        <v>119</v>
      </c>
      <c r="B128" s="56" t="s">
        <v>98</v>
      </c>
      <c r="C128" s="56" t="str">
        <f>VLOOKUP(B128,'country codes'!$A$3:$B$287,2,0)</f>
        <v>HTI</v>
      </c>
      <c r="D128" s="98" t="str">
        <f t="shared" si="7"/>
        <v>2019HTI</v>
      </c>
      <c r="E128" s="56">
        <v>1</v>
      </c>
      <c r="F128" s="63">
        <f>VLOOKUP($D128,'All data'!$E$2:$M$2281,2,0)</f>
        <v>11263.079</v>
      </c>
      <c r="G128" s="63">
        <f>VLOOKUP($D128,'All data'!$E$2:$M$2281,4,0)</f>
        <v>64</v>
      </c>
      <c r="H128" s="64">
        <f>VLOOKUP($D128,'All data'!$E$2:$M$2281,5,0)</f>
        <v>3.6149280071258545</v>
      </c>
      <c r="I128" s="64">
        <f>VLOOKUP($D128,'All data'!$E$2:$M$2281,6,0)</f>
        <v>0.61831242052975499</v>
      </c>
      <c r="J128" s="99">
        <f>VLOOKUP($D128,'All data'!$E$2:$M$2281,7,0)</f>
        <v>38.199419014068489</v>
      </c>
      <c r="K128" s="56">
        <f>VLOOKUP($C$5,'All data'!$G$2285:$J$2299,4,0)</f>
        <v>1.56</v>
      </c>
      <c r="L128" s="100">
        <f>VLOOKUP($D128,'All data'!$E$2:$M$2281,9,0)</f>
        <v>2905.4390812876577</v>
      </c>
    </row>
    <row r="129" spans="1:12">
      <c r="A129" s="97">
        <f t="shared" si="6"/>
        <v>120</v>
      </c>
      <c r="B129" s="56" t="s">
        <v>118</v>
      </c>
      <c r="C129" s="56" t="str">
        <f>VLOOKUP(B129,'country codes'!$A$3:$B$287,2,0)</f>
        <v>GIN</v>
      </c>
      <c r="D129" s="98" t="str">
        <f t="shared" si="7"/>
        <v>2019GIN</v>
      </c>
      <c r="E129" s="56">
        <v>5</v>
      </c>
      <c r="F129" s="63">
        <f>VLOOKUP($D129,'All data'!$E$2:$M$2281,2,0)</f>
        <v>12771.245999999999</v>
      </c>
      <c r="G129" s="63">
        <f>VLOOKUP($D129,'All data'!$E$2:$M$2281,4,0)</f>
        <v>61.6</v>
      </c>
      <c r="H129" s="64">
        <f>VLOOKUP($D129,'All data'!$E$2:$M$2281,5,0)</f>
        <v>4.7676844596862793</v>
      </c>
      <c r="I129" s="64">
        <f>VLOOKUP($D129,'All data'!$E$2:$M$2281,6,0)</f>
        <v>1.77061107258854</v>
      </c>
      <c r="J129" s="99">
        <f>VLOOKUP($D129,'All data'!$E$2:$M$2281,7,0)</f>
        <v>38.061003667834512</v>
      </c>
      <c r="K129" s="56">
        <f>VLOOKUP($C$5,'All data'!$G$2285:$J$2299,4,0)</f>
        <v>1.56</v>
      </c>
      <c r="L129" s="100">
        <f>VLOOKUP($D129,'All data'!$E$2:$M$2281,9,0)</f>
        <v>2562.0829207375932</v>
      </c>
    </row>
    <row r="130" spans="1:12">
      <c r="A130" s="97">
        <f t="shared" si="6"/>
        <v>121</v>
      </c>
      <c r="B130" s="56" t="s">
        <v>106</v>
      </c>
      <c r="C130" s="56" t="str">
        <f>VLOOKUP(B130,'country codes'!$A$3:$B$287,2,0)</f>
        <v>BDI</v>
      </c>
      <c r="D130" s="98" t="str">
        <f t="shared" si="7"/>
        <v>2019BDI</v>
      </c>
      <c r="E130" s="56">
        <v>5</v>
      </c>
      <c r="F130" s="63">
        <f>VLOOKUP($D130,'All data'!$E$2:$M$2281,2,0)</f>
        <v>11530.576999999999</v>
      </c>
      <c r="G130" s="63">
        <f>VLOOKUP($D130,'All data'!$E$2:$M$2281,4,0)</f>
        <v>61.6</v>
      </c>
      <c r="H130" s="64">
        <f>VLOOKUP($D130,'All data'!$E$2:$M$2281,5,0)</f>
        <v>3.7752830982208252</v>
      </c>
      <c r="I130" s="64">
        <f>VLOOKUP($D130,'All data'!$E$2:$M$2281,6,0)</f>
        <v>0.5926741987086902</v>
      </c>
      <c r="J130" s="99">
        <f>VLOOKUP($D130,'All data'!$E$2:$M$2281,7,0)</f>
        <v>37.695240039271766</v>
      </c>
      <c r="K130" s="56">
        <f>VLOOKUP($C$5,'All data'!$G$2285:$J$2299,4,0)</f>
        <v>1.56</v>
      </c>
      <c r="L130" s="100">
        <f>VLOOKUP($D130,'All data'!$E$2:$M$2281,9,0)</f>
        <v>751.6639571941181</v>
      </c>
    </row>
    <row r="131" spans="1:12">
      <c r="A131" s="97">
        <f t="shared" si="6"/>
        <v>122</v>
      </c>
      <c r="B131" s="56" t="s">
        <v>136</v>
      </c>
      <c r="C131" s="56" t="str">
        <f>VLOOKUP(B131,'country codes'!$A$3:$B$287,2,0)</f>
        <v>USA</v>
      </c>
      <c r="D131" s="98" t="str">
        <f t="shared" si="7"/>
        <v>2019USA</v>
      </c>
      <c r="E131" s="56">
        <v>2</v>
      </c>
      <c r="F131" s="63">
        <f>VLOOKUP($D131,'All data'!$E$2:$M$2281,2,0)</f>
        <v>329064.91700000002</v>
      </c>
      <c r="G131" s="63">
        <f>VLOOKUP($D131,'All data'!$E$2:$M$2281,4,0)</f>
        <v>78.900000000000006</v>
      </c>
      <c r="H131" s="64">
        <f>VLOOKUP($D131,'All data'!$E$2:$M$2281,5,0)</f>
        <v>6.9437012672424316</v>
      </c>
      <c r="I131" s="64">
        <f>VLOOKUP($D131,'All data'!$E$2:$M$2281,6,0)</f>
        <v>8.211274219959904</v>
      </c>
      <c r="J131" s="99">
        <f>VLOOKUP($D131,'All data'!$E$2:$M$2281,7,0)</f>
        <v>37.445715927397565</v>
      </c>
      <c r="K131" s="56">
        <f>VLOOKUP($C$5,'All data'!$G$2285:$J$2299,4,0)</f>
        <v>1.56</v>
      </c>
      <c r="L131" s="100">
        <f>VLOOKUP($D131,'All data'!$E$2:$M$2281,9,0)</f>
        <v>62530.389594961031</v>
      </c>
    </row>
    <row r="132" spans="1:12">
      <c r="A132" s="97">
        <f t="shared" si="6"/>
        <v>123</v>
      </c>
      <c r="B132" s="56" t="s">
        <v>115</v>
      </c>
      <c r="C132" s="56" t="str">
        <f>VLOOKUP(B132,'country codes'!$A$3:$B$287,2,0)</f>
        <v>TGO</v>
      </c>
      <c r="D132" s="98" t="str">
        <f t="shared" si="7"/>
        <v>2019TGO</v>
      </c>
      <c r="E132" s="56">
        <v>5</v>
      </c>
      <c r="F132" s="63">
        <f>VLOOKUP($D132,'All data'!$E$2:$M$2281,2,0)</f>
        <v>8082.3590000000004</v>
      </c>
      <c r="G132" s="63">
        <f>VLOOKUP($D132,'All data'!$E$2:$M$2281,4,0)</f>
        <v>61</v>
      </c>
      <c r="H132" s="64">
        <f>VLOOKUP($D132,'All data'!$E$2:$M$2281,5,0)</f>
        <v>4.1794939041137695</v>
      </c>
      <c r="I132" s="64">
        <f>VLOOKUP($D132,'All data'!$E$2:$M$2281,6,0)</f>
        <v>1.0934725581651383</v>
      </c>
      <c r="J132" s="99">
        <f>VLOOKUP($D132,'All data'!$E$2:$M$2281,7,0)</f>
        <v>37.310414530954453</v>
      </c>
      <c r="K132" s="56">
        <f>VLOOKUP($C$5,'All data'!$G$2285:$J$2299,4,0)</f>
        <v>1.56</v>
      </c>
      <c r="L132" s="100">
        <f>VLOOKUP($D132,'All data'!$E$2:$M$2281,9,0)</f>
        <v>1596.6449381777134</v>
      </c>
    </row>
    <row r="133" spans="1:12">
      <c r="A133" s="97">
        <f t="shared" si="6"/>
        <v>124</v>
      </c>
      <c r="B133" s="56" t="s">
        <v>117</v>
      </c>
      <c r="C133" s="56" t="str">
        <f>VLOOKUP(B133,'country codes'!$A$3:$B$287,2,0)</f>
        <v>TZA</v>
      </c>
      <c r="D133" s="98" t="str">
        <f t="shared" si="7"/>
        <v>2019TZA</v>
      </c>
      <c r="E133" s="56">
        <v>5</v>
      </c>
      <c r="F133" s="63">
        <f>VLOOKUP($D133,'All data'!$E$2:$M$2281,2,0)</f>
        <v>58005.461000000003</v>
      </c>
      <c r="G133" s="63">
        <f>VLOOKUP($D133,'All data'!$E$2:$M$2281,4,0)</f>
        <v>65.5</v>
      </c>
      <c r="H133" s="64">
        <f>VLOOKUP($D133,'All data'!$E$2:$M$2281,5,0)</f>
        <v>3.6401548385620117</v>
      </c>
      <c r="I133" s="64">
        <f>VLOOKUP($D133,'All data'!$E$2:$M$2281,6,0)</f>
        <v>1.0937293825256635</v>
      </c>
      <c r="J133" s="99">
        <f>VLOOKUP($D133,'All data'!$E$2:$M$2281,7,0)</f>
        <v>36.958338250708728</v>
      </c>
      <c r="K133" s="56">
        <f>VLOOKUP($C$5,'All data'!$G$2285:$J$2299,4,0)</f>
        <v>1.56</v>
      </c>
      <c r="L133" s="100">
        <f>VLOOKUP($D133,'All data'!$E$2:$M$2281,9,0)</f>
        <v>2660.42033801671</v>
      </c>
    </row>
    <row r="134" spans="1:12">
      <c r="A134" s="97">
        <f t="shared" si="6"/>
        <v>125</v>
      </c>
      <c r="B134" s="56" t="s">
        <v>135</v>
      </c>
      <c r="C134" s="56" t="str">
        <f>VLOOKUP(B134,'country codes'!$A$3:$B$287,2,0)</f>
        <v>LTU</v>
      </c>
      <c r="D134" s="98" t="str">
        <f t="shared" si="7"/>
        <v>2019LTU</v>
      </c>
      <c r="E134" s="56">
        <v>7</v>
      </c>
      <c r="F134" s="63">
        <f>VLOOKUP($D134,'All data'!$E$2:$M$2281,2,0)</f>
        <v>2759.6309999999999</v>
      </c>
      <c r="G134" s="63">
        <f>VLOOKUP($D134,'All data'!$E$2:$M$2281,4,0)</f>
        <v>75.900000000000006</v>
      </c>
      <c r="H134" s="64">
        <f>VLOOKUP($D134,'All data'!$E$2:$M$2281,5,0)</f>
        <v>6.0640978813171387</v>
      </c>
      <c r="I134" s="64">
        <f>VLOOKUP($D134,'All data'!$E$2:$M$2281,6,0)</f>
        <v>6.4180182281156455</v>
      </c>
      <c r="J134" s="99">
        <f>VLOOKUP($D134,'All data'!$E$2:$M$2281,7,0)</f>
        <v>36.857268150848284</v>
      </c>
      <c r="K134" s="56">
        <f>VLOOKUP($C$5,'All data'!$G$2285:$J$2299,4,0)</f>
        <v>1.56</v>
      </c>
      <c r="L134" s="100">
        <f>VLOOKUP($D134,'All data'!$E$2:$M$2281,9,0)</f>
        <v>37181.002938128957</v>
      </c>
    </row>
    <row r="135" spans="1:12">
      <c r="A135" s="97">
        <f t="shared" si="6"/>
        <v>126</v>
      </c>
      <c r="B135" s="56" t="s">
        <v>125</v>
      </c>
      <c r="C135" s="56" t="str">
        <f>VLOOKUP(B135,'country codes'!$A$3:$B$287,2,0)</f>
        <v>NAM</v>
      </c>
      <c r="D135" s="98" t="str">
        <f t="shared" si="7"/>
        <v>2019NAM</v>
      </c>
      <c r="E135" s="56">
        <v>5</v>
      </c>
      <c r="F135" s="63">
        <f>VLOOKUP($D135,'All data'!$E$2:$M$2281,2,0)</f>
        <v>2494.5239999999999</v>
      </c>
      <c r="G135" s="63">
        <f>VLOOKUP($D135,'All data'!$E$2:$M$2281,4,0)</f>
        <v>63.7</v>
      </c>
      <c r="H135" s="64">
        <f>VLOOKUP($D135,'All data'!$E$2:$M$2281,5,0)</f>
        <v>4.4358110427856445</v>
      </c>
      <c r="I135" s="64">
        <f>VLOOKUP($D135,'All data'!$E$2:$M$2281,6,0)</f>
        <v>1.9427525803428551</v>
      </c>
      <c r="J135" s="99">
        <f>VLOOKUP($D135,'All data'!$E$2:$M$2281,7,0)</f>
        <v>36.809116394230784</v>
      </c>
      <c r="K135" s="56">
        <f>VLOOKUP($C$5,'All data'!$G$2285:$J$2299,4,0)</f>
        <v>1.56</v>
      </c>
      <c r="L135" s="100">
        <f>VLOOKUP($D135,'All data'!$E$2:$M$2281,9,0)</f>
        <v>9637.180350710014</v>
      </c>
    </row>
    <row r="136" spans="1:12">
      <c r="A136" s="97">
        <f t="shared" si="6"/>
        <v>127</v>
      </c>
      <c r="B136" s="56" t="s">
        <v>134</v>
      </c>
      <c r="C136" s="56" t="str">
        <f>VLOOKUP(B136,'country codes'!$A$3:$B$287,2,0)</f>
        <v>BTN</v>
      </c>
      <c r="D136" s="98" t="str">
        <f t="shared" si="7"/>
        <v>2019BTN</v>
      </c>
      <c r="E136" s="56">
        <v>6</v>
      </c>
      <c r="F136" s="63">
        <f>VLOOKUP($D136,'All data'!$E$2:$M$2281,2,0)</f>
        <v>763.09400000000005</v>
      </c>
      <c r="G136" s="63">
        <f>VLOOKUP($D136,'All data'!$E$2:$M$2281,4,0)</f>
        <v>71.8</v>
      </c>
      <c r="H136" s="64">
        <f>VLOOKUP($D136,'All data'!$E$2:$M$2281,5,0)</f>
        <v>5.1965994834899902</v>
      </c>
      <c r="I136" s="64">
        <f>VLOOKUP($D136,'All data'!$E$2:$M$2281,6,0)</f>
        <v>4.3874319205211405</v>
      </c>
      <c r="J136" s="99">
        <f>VLOOKUP($D136,'All data'!$E$2:$M$2281,7,0)</f>
        <v>36.672829165722071</v>
      </c>
      <c r="K136" s="56">
        <f>VLOOKUP($C$5,'All data'!$G$2285:$J$2299,4,0)</f>
        <v>1.56</v>
      </c>
      <c r="L136" s="100">
        <f>VLOOKUP($D136,'All data'!$E$2:$M$2281,9,0)</f>
        <v>11832.189264644516</v>
      </c>
    </row>
    <row r="137" spans="1:12">
      <c r="A137" s="97">
        <f t="shared" si="6"/>
        <v>128</v>
      </c>
      <c r="B137" s="56" t="s">
        <v>124</v>
      </c>
      <c r="C137" s="56" t="str">
        <f>VLOOKUP(B137,'country codes'!$A$3:$B$287,2,0)</f>
        <v>IND</v>
      </c>
      <c r="D137" s="98" t="str">
        <f t="shared" si="7"/>
        <v>2019IND</v>
      </c>
      <c r="E137" s="56">
        <v>6</v>
      </c>
      <c r="F137" s="63">
        <f>VLOOKUP($D137,'All data'!$E$2:$M$2281,2,0)</f>
        <v>1366417.7560000001</v>
      </c>
      <c r="G137" s="63">
        <f>VLOOKUP($D137,'All data'!$E$2:$M$2281,4,0)</f>
        <v>69.7</v>
      </c>
      <c r="H137" s="64">
        <f>VLOOKUP($D137,'All data'!$E$2:$M$2281,5,0)</f>
        <v>3.2487697601318359</v>
      </c>
      <c r="I137" s="64">
        <f>VLOOKUP($D137,'All data'!$E$2:$M$2281,6,0)</f>
        <v>1.219981626879564</v>
      </c>
      <c r="J137" s="99">
        <f>VLOOKUP($D137,'All data'!$E$2:$M$2281,7,0)</f>
        <v>36.372131822549619</v>
      </c>
      <c r="K137" s="56">
        <f>VLOOKUP($C$5,'All data'!$G$2285:$J$2299,4,0)</f>
        <v>1.56</v>
      </c>
      <c r="L137" s="100">
        <f>VLOOKUP($D137,'All data'!$E$2:$M$2281,9,0)</f>
        <v>6700.0622249088801</v>
      </c>
    </row>
    <row r="138" spans="1:12">
      <c r="A138" s="97">
        <f t="shared" ref="A138:A161" si="8">IFERROR(RANK(J138,$J$10:$J$161),"")</f>
        <v>129</v>
      </c>
      <c r="B138" s="56" t="s">
        <v>132</v>
      </c>
      <c r="C138" s="56" t="str">
        <f>VLOOKUP(B138,'country codes'!$A$3:$B$287,2,0)</f>
        <v>ZAF</v>
      </c>
      <c r="D138" s="98" t="str">
        <f t="shared" ref="D138:D161" si="9">$C$5&amp;C138</f>
        <v>2019ZAF</v>
      </c>
      <c r="E138" s="56">
        <v>5</v>
      </c>
      <c r="F138" s="63">
        <f>VLOOKUP($D138,'All data'!$E$2:$M$2281,2,0)</f>
        <v>58558.267</v>
      </c>
      <c r="G138" s="63">
        <f>VLOOKUP($D138,'All data'!$E$2:$M$2281,4,0)</f>
        <v>64.099999999999994</v>
      </c>
      <c r="H138" s="64">
        <f>VLOOKUP($D138,'All data'!$E$2:$M$2281,5,0)</f>
        <v>5.0348634719848633</v>
      </c>
      <c r="I138" s="64">
        <f>VLOOKUP($D138,'All data'!$E$2:$M$2281,6,0)</f>
        <v>2.9667665513810704</v>
      </c>
      <c r="J138" s="99">
        <f>VLOOKUP($D138,'All data'!$E$2:$M$2281,7,0)</f>
        <v>36.205264770139813</v>
      </c>
      <c r="K138" s="56">
        <f>VLOOKUP($C$5,'All data'!$G$2285:$J$2299,4,0)</f>
        <v>1.56</v>
      </c>
      <c r="L138" s="100">
        <f>VLOOKUP($D138,'All data'!$E$2:$M$2281,9,0)</f>
        <v>12481.813507477662</v>
      </c>
    </row>
    <row r="139" spans="1:12">
      <c r="A139" s="97">
        <f t="shared" si="8"/>
        <v>130</v>
      </c>
      <c r="B139" s="56" t="s">
        <v>128</v>
      </c>
      <c r="C139" s="56" t="str">
        <f>VLOOKUP(B139,'country codes'!$A$3:$B$287,2,0)</f>
        <v>SWZ</v>
      </c>
      <c r="D139" s="98" t="str">
        <f t="shared" si="9"/>
        <v>2019SWZ</v>
      </c>
      <c r="E139" s="56">
        <v>5</v>
      </c>
      <c r="F139" s="63">
        <f>VLOOKUP($D139,'All data'!$E$2:$M$2281,2,0)</f>
        <v>1148.133</v>
      </c>
      <c r="G139" s="63">
        <f>VLOOKUP($D139,'All data'!$E$2:$M$2281,4,0)</f>
        <v>60.2</v>
      </c>
      <c r="H139" s="64">
        <f>VLOOKUP($D139,'All data'!$E$2:$M$2281,5,0)</f>
        <v>4.3961148262023926</v>
      </c>
      <c r="I139" s="64">
        <f>VLOOKUP($D139,'All data'!$E$2:$M$2281,6,0)</f>
        <v>1.6707697224271458</v>
      </c>
      <c r="J139" s="99">
        <f>VLOOKUP($D139,'All data'!$E$2:$M$2281,7,0)</f>
        <v>35.345329562675609</v>
      </c>
      <c r="K139" s="56">
        <f>VLOOKUP($C$5,'All data'!$G$2285:$J$2299,4,0)</f>
        <v>1.56</v>
      </c>
      <c r="L139" s="100">
        <f>VLOOKUP($D139,'All data'!$E$2:$M$2281,9,0)</f>
        <v>8621.8265952471556</v>
      </c>
    </row>
    <row r="140" spans="1:12">
      <c r="A140" s="97">
        <f t="shared" si="8"/>
        <v>131</v>
      </c>
      <c r="B140" s="56" t="s">
        <v>137</v>
      </c>
      <c r="C140" s="56" t="str">
        <f>VLOOKUP(B140,'country codes'!$A$3:$B$287,2,0)</f>
        <v>RUS</v>
      </c>
      <c r="D140" s="98" t="str">
        <f t="shared" si="9"/>
        <v>2019RUS</v>
      </c>
      <c r="E140" s="56">
        <v>7</v>
      </c>
      <c r="F140" s="63">
        <f>VLOOKUP($D140,'All data'!$E$2:$M$2281,2,0)</f>
        <v>145872.26</v>
      </c>
      <c r="G140" s="63">
        <f>VLOOKUP($D140,'All data'!$E$2:$M$2281,4,0)</f>
        <v>72.599999999999994</v>
      </c>
      <c r="H140" s="64">
        <f>VLOOKUP($D140,'All data'!$E$2:$M$2281,5,0)</f>
        <v>5.440523624420166</v>
      </c>
      <c r="I140" s="64">
        <f>VLOOKUP($D140,'All data'!$E$2:$M$2281,6,0)</f>
        <v>5.4637145564083349</v>
      </c>
      <c r="J140" s="99">
        <f>VLOOKUP($D140,'All data'!$E$2:$M$2281,7,0)</f>
        <v>34.925046529251681</v>
      </c>
      <c r="K140" s="56">
        <f>VLOOKUP($C$5,'All data'!$G$2285:$J$2299,4,0)</f>
        <v>1.56</v>
      </c>
      <c r="L140" s="100">
        <f>VLOOKUP($D140,'All data'!$E$2:$M$2281,9,0)</f>
        <v>27043.9353888318</v>
      </c>
    </row>
    <row r="141" spans="1:12">
      <c r="A141" s="97">
        <f t="shared" si="8"/>
        <v>132</v>
      </c>
      <c r="B141" s="56" t="s">
        <v>133</v>
      </c>
      <c r="C141" s="56" t="str">
        <f>VLOOKUP(B141,'country codes'!$A$3:$B$287,2,0)</f>
        <v>MRT</v>
      </c>
      <c r="D141" s="98" t="str">
        <f t="shared" si="9"/>
        <v>2019MRT</v>
      </c>
      <c r="E141" s="56">
        <v>5</v>
      </c>
      <c r="F141" s="63">
        <f>VLOOKUP($D141,'All data'!$E$2:$M$2281,2,0)</f>
        <v>4525.6980000000003</v>
      </c>
      <c r="G141" s="63">
        <f>VLOOKUP($D141,'All data'!$E$2:$M$2281,4,0)</f>
        <v>64.900000000000006</v>
      </c>
      <c r="H141" s="64">
        <f>VLOOKUP($D141,'All data'!$E$2:$M$2281,5,0)</f>
        <v>4.1526193618774414</v>
      </c>
      <c r="I141" s="64">
        <f>VLOOKUP($D141,'All data'!$E$2:$M$2281,6,0)</f>
        <v>2.2449265514644083</v>
      </c>
      <c r="J141" s="99">
        <f>VLOOKUP($D141,'All data'!$E$2:$M$2281,7,0)</f>
        <v>34.662418357091788</v>
      </c>
      <c r="K141" s="56">
        <f>VLOOKUP($C$5,'All data'!$G$2285:$J$2299,4,0)</f>
        <v>1.56</v>
      </c>
      <c r="L141" s="100">
        <f>VLOOKUP($D141,'All data'!$E$2:$M$2281,9,0)</f>
        <v>5197.0745467225051</v>
      </c>
    </row>
    <row r="142" spans="1:12">
      <c r="A142" s="97">
        <f t="shared" si="8"/>
        <v>133</v>
      </c>
      <c r="B142" s="56" t="s">
        <v>141</v>
      </c>
      <c r="C142" s="56" t="str">
        <f>VLOOKUP(B142,'country codes'!$A$3:$B$287,2,0)</f>
        <v>EST</v>
      </c>
      <c r="D142" s="98" t="str">
        <f t="shared" si="9"/>
        <v>2019EST</v>
      </c>
      <c r="E142" s="56">
        <v>7</v>
      </c>
      <c r="F142" s="63">
        <f>VLOOKUP($D142,'All data'!$E$2:$M$2281,2,0)</f>
        <v>1325.6489999999999</v>
      </c>
      <c r="G142" s="63">
        <f>VLOOKUP($D142,'All data'!$E$2:$M$2281,4,0)</f>
        <v>78.8</v>
      </c>
      <c r="H142" s="64">
        <f>VLOOKUP($D142,'All data'!$E$2:$M$2281,5,0)</f>
        <v>6.0346412658691406</v>
      </c>
      <c r="I142" s="64">
        <f>VLOOKUP($D142,'All data'!$E$2:$M$2281,6,0)</f>
        <v>7.8495812021719429</v>
      </c>
      <c r="J142" s="99">
        <f>VLOOKUP($D142,'All data'!$E$2:$M$2281,7,0)</f>
        <v>34.442902546676429</v>
      </c>
      <c r="K142" s="56">
        <f>VLOOKUP($C$5,'All data'!$G$2285:$J$2299,4,0)</f>
        <v>1.56</v>
      </c>
      <c r="L142" s="100">
        <f>VLOOKUP($D142,'All data'!$E$2:$M$2281,9,0)</f>
        <v>36947.706127486003</v>
      </c>
    </row>
    <row r="143" spans="1:12">
      <c r="A143" s="97">
        <f t="shared" si="8"/>
        <v>134</v>
      </c>
      <c r="B143" s="56" t="s">
        <v>126</v>
      </c>
      <c r="C143" s="56" t="str">
        <f>VLOOKUP(B143,'country codes'!$A$3:$B$287,2,0)</f>
        <v>ZMB</v>
      </c>
      <c r="D143" s="98" t="str">
        <f t="shared" si="9"/>
        <v>2019ZMB</v>
      </c>
      <c r="E143" s="56">
        <v>5</v>
      </c>
      <c r="F143" s="63">
        <f>VLOOKUP($D143,'All data'!$E$2:$M$2281,2,0)</f>
        <v>17861.034</v>
      </c>
      <c r="G143" s="63">
        <f>VLOOKUP($D143,'All data'!$E$2:$M$2281,4,0)</f>
        <v>63.9</v>
      </c>
      <c r="H143" s="64">
        <f>VLOOKUP($D143,'All data'!$E$2:$M$2281,5,0)</f>
        <v>3.3067965507507324</v>
      </c>
      <c r="I143" s="64">
        <f>VLOOKUP($D143,'All data'!$E$2:$M$2281,6,0)</f>
        <v>0.93122893485992309</v>
      </c>
      <c r="J143" s="99">
        <f>VLOOKUP($D143,'All data'!$E$2:$M$2281,7,0)</f>
        <v>34.410910865303727</v>
      </c>
      <c r="K143" s="56">
        <f>VLOOKUP($C$5,'All data'!$G$2285:$J$2299,4,0)</f>
        <v>1.56</v>
      </c>
      <c r="L143" s="100">
        <f>VLOOKUP($D143,'All data'!$E$2:$M$2281,9,0)</f>
        <v>3470.4488009287375</v>
      </c>
    </row>
    <row r="144" spans="1:12">
      <c r="A144" s="97">
        <f t="shared" si="8"/>
        <v>135</v>
      </c>
      <c r="B144" s="56" t="s">
        <v>145</v>
      </c>
      <c r="C144" s="56" t="str">
        <f>VLOOKUP(B144,'country codes'!$A$3:$B$287,2,0)</f>
        <v>ARE</v>
      </c>
      <c r="D144" s="98" t="str">
        <f t="shared" si="9"/>
        <v>2019ARE</v>
      </c>
      <c r="E144" s="56">
        <v>4</v>
      </c>
      <c r="F144" s="63">
        <f>VLOOKUP($D144,'All data'!$E$2:$M$2281,2,0)</f>
        <v>9770.5259999999998</v>
      </c>
      <c r="G144" s="63">
        <f>VLOOKUP($D144,'All data'!$E$2:$M$2281,4,0)</f>
        <v>78</v>
      </c>
      <c r="H144" s="64">
        <f>VLOOKUP($D144,'All data'!$E$2:$M$2281,5,0)</f>
        <v>6.710782527923584</v>
      </c>
      <c r="I144" s="64">
        <f>VLOOKUP($D144,'All data'!$E$2:$M$2281,6,0)</f>
        <v>8.9350429661682345</v>
      </c>
      <c r="J144" s="99">
        <f>VLOOKUP($D144,'All data'!$E$2:$M$2281,7,0)</f>
        <v>34.30856703043618</v>
      </c>
      <c r="K144" s="56">
        <f>VLOOKUP($C$5,'All data'!$G$2285:$J$2299,4,0)</f>
        <v>1.56</v>
      </c>
      <c r="L144" s="100">
        <f>VLOOKUP($D144,'All data'!$E$2:$M$2281,9,0)</f>
        <v>67119.132637430273</v>
      </c>
    </row>
    <row r="145" spans="1:12">
      <c r="A145" s="97">
        <f t="shared" si="8"/>
        <v>136</v>
      </c>
      <c r="B145" s="56" t="s">
        <v>142</v>
      </c>
      <c r="C145" s="56" t="str">
        <f>VLOOKUP(B145,'country codes'!$A$3:$B$287,2,0)</f>
        <v>LVA</v>
      </c>
      <c r="D145" s="98" t="str">
        <f t="shared" si="9"/>
        <v>2019LVA</v>
      </c>
      <c r="E145" s="56">
        <v>7</v>
      </c>
      <c r="F145" s="63">
        <f>VLOOKUP($D145,'All data'!$E$2:$M$2281,2,0)</f>
        <v>1906.74</v>
      </c>
      <c r="G145" s="63">
        <f>VLOOKUP($D145,'All data'!$E$2:$M$2281,4,0)</f>
        <v>75.3</v>
      </c>
      <c r="H145" s="64">
        <f>VLOOKUP($D145,'All data'!$E$2:$M$2281,5,0)</f>
        <v>5.9697537422180176</v>
      </c>
      <c r="I145" s="64">
        <f>VLOOKUP($D145,'All data'!$E$2:$M$2281,6,0)</f>
        <v>7.151485606896947</v>
      </c>
      <c r="J145" s="99">
        <f>VLOOKUP($D145,'All data'!$E$2:$M$2281,7,0)</f>
        <v>34.144972659561056</v>
      </c>
      <c r="K145" s="56">
        <f>VLOOKUP($C$5,'All data'!$G$2285:$J$2299,4,0)</f>
        <v>1.56</v>
      </c>
      <c r="L145" s="100">
        <f>VLOOKUP($D145,'All data'!$E$2:$M$2281,9,0)</f>
        <v>30965.451863149607</v>
      </c>
    </row>
    <row r="146" spans="1:12">
      <c r="A146" s="97">
        <f t="shared" si="8"/>
        <v>137</v>
      </c>
      <c r="B146" s="56" t="s">
        <v>129</v>
      </c>
      <c r="C146" s="56" t="str">
        <f>VLOOKUP(B146,'country codes'!$A$3:$B$287,2,0)</f>
        <v>NGA</v>
      </c>
      <c r="D146" s="98" t="str">
        <f t="shared" si="9"/>
        <v>2019NGA</v>
      </c>
      <c r="E146" s="56">
        <v>5</v>
      </c>
      <c r="F146" s="63">
        <f>VLOOKUP($D146,'All data'!$E$2:$M$2281,2,0)</f>
        <v>200963.603</v>
      </c>
      <c r="G146" s="63">
        <f>VLOOKUP($D146,'All data'!$E$2:$M$2281,4,0)</f>
        <v>54.7</v>
      </c>
      <c r="H146" s="64">
        <f>VLOOKUP($D146,'All data'!$E$2:$M$2281,5,0)</f>
        <v>4.3564190864562988</v>
      </c>
      <c r="I146" s="64">
        <f>VLOOKUP($D146,'All data'!$E$2:$M$2281,6,0)</f>
        <v>0.99286456435637171</v>
      </c>
      <c r="J146" s="99">
        <f>VLOOKUP($D146,'All data'!$E$2:$M$2281,7,0)</f>
        <v>34.138213638375902</v>
      </c>
      <c r="K146" s="56">
        <f>VLOOKUP($C$5,'All data'!$G$2285:$J$2299,4,0)</f>
        <v>1.56</v>
      </c>
      <c r="L146" s="100">
        <f>VLOOKUP($D146,'All data'!$E$2:$M$2281,9,0)</f>
        <v>5135.4995709709319</v>
      </c>
    </row>
    <row r="147" spans="1:12">
      <c r="A147" s="97">
        <f t="shared" si="8"/>
        <v>138</v>
      </c>
      <c r="B147" s="56" t="s">
        <v>147</v>
      </c>
      <c r="C147" s="56" t="str">
        <f>VLOOKUP(B147,'country codes'!$A$3:$B$287,2,0)</f>
        <v>HKG</v>
      </c>
      <c r="D147" s="98" t="str">
        <f t="shared" si="9"/>
        <v>2019HKG</v>
      </c>
      <c r="E147" s="56">
        <v>8</v>
      </c>
      <c r="F147" s="63">
        <f>VLOOKUP($D147,'All data'!$E$2:$M$2281,2,0)</f>
        <v>7436.1570000000002</v>
      </c>
      <c r="G147" s="63">
        <f>VLOOKUP($D147,'All data'!$E$2:$M$2281,4,0)</f>
        <v>84.9</v>
      </c>
      <c r="H147" s="64">
        <f>VLOOKUP($D147,'All data'!$E$2:$M$2281,5,0)</f>
        <v>5.6593170166015625</v>
      </c>
      <c r="I147" s="64">
        <f>VLOOKUP($D147,'All data'!$E$2:$M$2281,6,0)</f>
        <v>8.6018881673552041</v>
      </c>
      <c r="J147" s="99">
        <f>VLOOKUP($D147,'All data'!$E$2:$M$2281,7,0)</f>
        <v>33.890658195306983</v>
      </c>
      <c r="K147" s="56">
        <f>VLOOKUP($C$5,'All data'!$G$2285:$J$2299,4,0)</f>
        <v>1.56</v>
      </c>
      <c r="L147" s="100">
        <f>VLOOKUP($D147,'All data'!$E$2:$M$2281,9,0)</f>
        <v>59847.554276208779</v>
      </c>
    </row>
    <row r="148" spans="1:12">
      <c r="A148" s="97">
        <f t="shared" si="8"/>
        <v>139</v>
      </c>
      <c r="B148" s="56" t="s">
        <v>149</v>
      </c>
      <c r="C148" s="56" t="str">
        <f>VLOOKUP(B148,'country codes'!$A$3:$B$287,2,0)</f>
        <v>BHR</v>
      </c>
      <c r="D148" s="98" t="str">
        <f t="shared" si="9"/>
        <v>2019BHR</v>
      </c>
      <c r="E148" s="56">
        <v>4</v>
      </c>
      <c r="F148" s="63">
        <f>VLOOKUP($D148,'All data'!$E$2:$M$2281,2,0)</f>
        <v>1641.164</v>
      </c>
      <c r="G148" s="63">
        <f>VLOOKUP($D148,'All data'!$E$2:$M$2281,4,0)</f>
        <v>77.3</v>
      </c>
      <c r="H148" s="64">
        <f>VLOOKUP($D148,'All data'!$E$2:$M$2281,5,0)</f>
        <v>7.0980124473571777</v>
      </c>
      <c r="I148" s="64">
        <f>VLOOKUP($D148,'All data'!$E$2:$M$2281,6,0)</f>
        <v>9.7965653175146237</v>
      </c>
      <c r="J148" s="99">
        <f>VLOOKUP($D148,'All data'!$E$2:$M$2281,7,0)</f>
        <v>33.592973795284351</v>
      </c>
      <c r="K148" s="56">
        <f>VLOOKUP($C$5,'All data'!$G$2285:$J$2299,4,0)</f>
        <v>1.56</v>
      </c>
      <c r="L148" s="100">
        <f>VLOOKUP($D148,'All data'!$E$2:$M$2281,9,0)</f>
        <v>45010.711495441923</v>
      </c>
    </row>
    <row r="149" spans="1:12">
      <c r="A149" s="97">
        <f t="shared" si="8"/>
        <v>140</v>
      </c>
      <c r="B149" s="56" t="s">
        <v>148</v>
      </c>
      <c r="C149" s="56" t="str">
        <f>VLOOKUP(B149,'country codes'!$A$3:$B$287,2,0)</f>
        <v>KWT</v>
      </c>
      <c r="D149" s="98" t="str">
        <f t="shared" si="9"/>
        <v>2019KWT</v>
      </c>
      <c r="E149" s="56">
        <v>4</v>
      </c>
      <c r="F149" s="63">
        <f>VLOOKUP($D149,'All data'!$E$2:$M$2281,2,0)</f>
        <v>4207.0770000000002</v>
      </c>
      <c r="G149" s="63">
        <f>VLOOKUP($D149,'All data'!$E$2:$M$2281,4,0)</f>
        <v>75.5</v>
      </c>
      <c r="H149" s="64">
        <f>VLOOKUP($D149,'All data'!$E$2:$M$2281,5,0)</f>
        <v>6.1061196327209473</v>
      </c>
      <c r="I149" s="64">
        <f>VLOOKUP($D149,'All data'!$E$2:$M$2281,6,0)</f>
        <v>7.7654224219173065</v>
      </c>
      <c r="J149" s="99">
        <f>VLOOKUP($D149,'All data'!$E$2:$M$2281,7,0)</f>
        <v>33.324971866894899</v>
      </c>
      <c r="K149" s="56">
        <f>VLOOKUP($C$5,'All data'!$G$2285:$J$2299,4,0)</f>
        <v>1.56</v>
      </c>
      <c r="L149" s="100">
        <f>VLOOKUP($D149,'All data'!$E$2:$M$2281,9,0)</f>
        <v>49853.576449819884</v>
      </c>
    </row>
    <row r="150" spans="1:12">
      <c r="A150" s="97">
        <f t="shared" si="8"/>
        <v>141</v>
      </c>
      <c r="B150" s="56" t="s">
        <v>144</v>
      </c>
      <c r="C150" s="56" t="str">
        <f>VLOOKUP(B150,'country codes'!$A$3:$B$287,2,0)</f>
        <v>TKM</v>
      </c>
      <c r="D150" s="98" t="str">
        <f t="shared" si="9"/>
        <v>2019TKM</v>
      </c>
      <c r="E150" s="56">
        <v>7</v>
      </c>
      <c r="F150" s="63">
        <f>VLOOKUP($D150,'All data'!$E$2:$M$2281,2,0)</f>
        <v>5942.0940000000001</v>
      </c>
      <c r="G150" s="63">
        <f>VLOOKUP($D150,'All data'!$E$2:$M$2281,4,0)</f>
        <v>68.2</v>
      </c>
      <c r="H150" s="64">
        <f>VLOOKUP($D150,'All data'!$E$2:$M$2281,5,0)</f>
        <v>5.4742999076843262</v>
      </c>
      <c r="I150" s="64">
        <f>VLOOKUP($D150,'All data'!$E$2:$M$2281,6,0)</f>
        <v>5.3603095338894731</v>
      </c>
      <c r="J150" s="99">
        <f>VLOOKUP($D150,'All data'!$E$2:$M$2281,7,0)</f>
        <v>32.9573824854074</v>
      </c>
      <c r="K150" s="56">
        <f>VLOOKUP($C$5,'All data'!$G$2285:$J$2299,4,0)</f>
        <v>1.56</v>
      </c>
      <c r="L150" s="100" t="str">
        <f>VLOOKUP($D150,'All data'!$E$2:$M$2281,9,0)</f>
        <v>..</v>
      </c>
    </row>
    <row r="151" spans="1:12">
      <c r="A151" s="97">
        <f t="shared" si="8"/>
        <v>142</v>
      </c>
      <c r="B151" s="56" t="s">
        <v>139</v>
      </c>
      <c r="C151" s="56" t="str">
        <f>VLOOKUP(B151,'country codes'!$A$3:$B$287,2,0)</f>
        <v>BWA</v>
      </c>
      <c r="D151" s="98" t="str">
        <f t="shared" si="9"/>
        <v>2019BWA</v>
      </c>
      <c r="E151" s="56">
        <v>5</v>
      </c>
      <c r="F151" s="63">
        <f>VLOOKUP($D151,'All data'!$E$2:$M$2281,2,0)</f>
        <v>2303.703</v>
      </c>
      <c r="G151" s="63">
        <f>VLOOKUP($D151,'All data'!$E$2:$M$2281,4,0)</f>
        <v>69.599999999999994</v>
      </c>
      <c r="H151" s="64">
        <f>VLOOKUP($D151,'All data'!$E$2:$M$2281,5,0)</f>
        <v>3.4710848331451416</v>
      </c>
      <c r="I151" s="64">
        <f>VLOOKUP($D151,'All data'!$E$2:$M$2281,6,0)</f>
        <v>2.6611630583663262</v>
      </c>
      <c r="J151" s="99">
        <f>VLOOKUP($D151,'All data'!$E$2:$M$2281,7,0)</f>
        <v>31.851122142555234</v>
      </c>
      <c r="K151" s="56">
        <f>VLOOKUP($C$5,'All data'!$G$2285:$J$2299,4,0)</f>
        <v>1.56</v>
      </c>
      <c r="L151" s="100">
        <f>VLOOKUP($D151,'All data'!$E$2:$M$2281,9,0)</f>
        <v>17766.538968346358</v>
      </c>
    </row>
    <row r="152" spans="1:12">
      <c r="A152" s="97">
        <f t="shared" si="8"/>
        <v>143</v>
      </c>
      <c r="B152" s="56" t="s">
        <v>152</v>
      </c>
      <c r="C152" s="56" t="str">
        <f>VLOOKUP(B152,'country codes'!$A$3:$B$287,2,0)</f>
        <v>LUX</v>
      </c>
      <c r="D152" s="98" t="str">
        <f t="shared" si="9"/>
        <v>2019LUX</v>
      </c>
      <c r="E152" s="56">
        <v>3</v>
      </c>
      <c r="F152" s="63">
        <f>VLOOKUP($D152,'All data'!$E$2:$M$2281,2,0)</f>
        <v>615.73</v>
      </c>
      <c r="G152" s="63">
        <f>VLOOKUP($D152,'All data'!$E$2:$M$2281,4,0)</f>
        <v>82.3</v>
      </c>
      <c r="H152" s="64">
        <f>VLOOKUP($D152,'All data'!$E$2:$M$2281,5,0)</f>
        <v>7.4040155410766602</v>
      </c>
      <c r="I152" s="64">
        <f>VLOOKUP($D152,'All data'!$E$2:$M$2281,6,0)</f>
        <v>12.589407028081958</v>
      </c>
      <c r="J152" s="99">
        <f>VLOOKUP($D152,'All data'!$E$2:$M$2281,7,0)</f>
        <v>31.723369529032396</v>
      </c>
      <c r="K152" s="56">
        <f>VLOOKUP($C$5,'All data'!$G$2285:$J$2299,4,0)</f>
        <v>1.56</v>
      </c>
      <c r="L152" s="100">
        <f>VLOOKUP($D152,'All data'!$E$2:$M$2281,9,0)</f>
        <v>114304.04420951448</v>
      </c>
    </row>
    <row r="153" spans="1:12">
      <c r="A153" s="97">
        <f t="shared" si="8"/>
        <v>144</v>
      </c>
      <c r="B153" s="56" t="s">
        <v>151</v>
      </c>
      <c r="C153" s="56" t="str">
        <f>VLOOKUP(B153,'country codes'!$A$3:$B$287,2,0)</f>
        <v>TTO</v>
      </c>
      <c r="D153" s="98" t="str">
        <f t="shared" si="9"/>
        <v>2019TTO</v>
      </c>
      <c r="E153" s="56">
        <v>1</v>
      </c>
      <c r="F153" s="63">
        <f>VLOOKUP($D153,'All data'!$E$2:$M$2281,2,0)</f>
        <v>1394.9690000000001</v>
      </c>
      <c r="G153" s="63">
        <f>VLOOKUP($D153,'All data'!$E$2:$M$2281,4,0)</f>
        <v>73.5</v>
      </c>
      <c r="H153" s="64">
        <f>VLOOKUP($D153,'All data'!$E$2:$M$2281,5,0)</f>
        <v>6.1918597221374512</v>
      </c>
      <c r="I153" s="64">
        <f>VLOOKUP($D153,'All data'!$E$2:$M$2281,6,0)</f>
        <v>8.2438287506023649</v>
      </c>
      <c r="J153" s="99">
        <f>VLOOKUP($D153,'All data'!$E$2:$M$2281,7,0)</f>
        <v>31.612802991099869</v>
      </c>
      <c r="K153" s="56">
        <f>VLOOKUP($C$5,'All data'!$G$2285:$J$2299,4,0)</f>
        <v>1.56</v>
      </c>
      <c r="L153" s="100">
        <f>VLOOKUP($D153,'All data'!$E$2:$M$2281,9,0)</f>
        <v>26175.836978623371</v>
      </c>
    </row>
    <row r="154" spans="1:12">
      <c r="A154" s="97">
        <f t="shared" si="8"/>
        <v>145</v>
      </c>
      <c r="B154" s="56" t="s">
        <v>140</v>
      </c>
      <c r="C154" s="56" t="str">
        <f>VLOOKUP(B154,'country codes'!$A$3:$B$287,2,0)</f>
        <v>TCD</v>
      </c>
      <c r="D154" s="98" t="str">
        <f t="shared" si="9"/>
        <v>2019TCD</v>
      </c>
      <c r="E154" s="56">
        <v>5</v>
      </c>
      <c r="F154" s="63">
        <f>VLOOKUP($D154,'All data'!$E$2:$M$2281,2,0)</f>
        <v>15946.882</v>
      </c>
      <c r="G154" s="63">
        <f>VLOOKUP($D154,'All data'!$E$2:$M$2281,4,0)</f>
        <v>54.2</v>
      </c>
      <c r="H154" s="64">
        <f>VLOOKUP($D154,'All data'!$E$2:$M$2281,5,0)</f>
        <v>4.2507991790771484</v>
      </c>
      <c r="I154" s="64">
        <f>VLOOKUP($D154,'All data'!$E$2:$M$2281,6,0)</f>
        <v>1.6713894733731725</v>
      </c>
      <c r="J154" s="99">
        <f>VLOOKUP($D154,'All data'!$E$2:$M$2281,7,0)</f>
        <v>30.362789833250027</v>
      </c>
      <c r="K154" s="56">
        <f>VLOOKUP($C$5,'All data'!$G$2285:$J$2299,4,0)</f>
        <v>1.56</v>
      </c>
      <c r="L154" s="100">
        <f>VLOOKUP($D154,'All data'!$E$2:$M$2281,9,0)</f>
        <v>1579.6266949696401</v>
      </c>
    </row>
    <row r="155" spans="1:12">
      <c r="A155" s="97">
        <f t="shared" si="8"/>
        <v>146</v>
      </c>
      <c r="B155" s="56" t="s">
        <v>138</v>
      </c>
      <c r="C155" s="56" t="str">
        <f>VLOOKUP(B155,'country codes'!$A$3:$B$287,2,0)</f>
        <v>AFG</v>
      </c>
      <c r="D155" s="98" t="str">
        <f t="shared" si="9"/>
        <v>2019AFG</v>
      </c>
      <c r="E155" s="56">
        <v>6</v>
      </c>
      <c r="F155" s="63">
        <f>VLOOKUP($D155,'All data'!$E$2:$M$2281,2,0)</f>
        <v>38041.756999999998</v>
      </c>
      <c r="G155" s="63">
        <f>VLOOKUP($D155,'All data'!$E$2:$M$2281,4,0)</f>
        <v>64.8</v>
      </c>
      <c r="H155" s="64">
        <f>VLOOKUP($D155,'All data'!$E$2:$M$2281,5,0)</f>
        <v>2.3750917911529541</v>
      </c>
      <c r="I155" s="64">
        <f>VLOOKUP($D155,'All data'!$E$2:$M$2281,6,0)</f>
        <v>0.73209174728481574</v>
      </c>
      <c r="J155" s="99">
        <f>VLOOKUP($D155,'All data'!$E$2:$M$2281,7,0)</f>
        <v>29.409203208169547</v>
      </c>
      <c r="K155" s="56">
        <f>VLOOKUP($C$5,'All data'!$G$2285:$J$2299,4,0)</f>
        <v>1.56</v>
      </c>
      <c r="L155" s="100">
        <f>VLOOKUP($D155,'All data'!$E$2:$M$2281,9,0)</f>
        <v>2065.0363978116343</v>
      </c>
    </row>
    <row r="156" spans="1:12">
      <c r="A156" s="97">
        <f t="shared" si="8"/>
        <v>147</v>
      </c>
      <c r="B156" s="56" t="s">
        <v>143</v>
      </c>
      <c r="C156" s="56" t="str">
        <f>VLOOKUP(B156,'country codes'!$A$3:$B$287,2,0)</f>
        <v>SLE</v>
      </c>
      <c r="D156" s="98" t="str">
        <f t="shared" si="9"/>
        <v>2019SLE</v>
      </c>
      <c r="E156" s="56">
        <v>5</v>
      </c>
      <c r="F156" s="63">
        <f>VLOOKUP($D156,'All data'!$E$2:$M$2281,2,0)</f>
        <v>7813.2070000000003</v>
      </c>
      <c r="G156" s="63">
        <f>VLOOKUP($D156,'All data'!$E$2:$M$2281,4,0)</f>
        <v>54.7</v>
      </c>
      <c r="H156" s="64">
        <f>VLOOKUP($D156,'All data'!$E$2:$M$2281,5,0)</f>
        <v>3.4473814964294434</v>
      </c>
      <c r="I156" s="64">
        <f>VLOOKUP($D156,'All data'!$E$2:$M$2281,6,0)</f>
        <v>0.96694478363342973</v>
      </c>
      <c r="J156" s="99">
        <f>VLOOKUP($D156,'All data'!$E$2:$M$2281,7,0)</f>
        <v>29.016739369446331</v>
      </c>
      <c r="K156" s="56">
        <f>VLOOKUP($C$5,'All data'!$G$2285:$J$2299,4,0)</f>
        <v>1.56</v>
      </c>
      <c r="L156" s="100">
        <f>VLOOKUP($D156,'All data'!$E$2:$M$2281,9,0)</f>
        <v>1718.2767115724275</v>
      </c>
    </row>
    <row r="157" spans="1:12">
      <c r="A157" s="97">
        <f t="shared" si="8"/>
        <v>148</v>
      </c>
      <c r="B157" s="56" t="s">
        <v>146</v>
      </c>
      <c r="C157" s="56" t="str">
        <f>VLOOKUP(B157,'country codes'!$A$3:$B$287,2,0)</f>
        <v>ZWE</v>
      </c>
      <c r="D157" s="98" t="str">
        <f t="shared" si="9"/>
        <v>2019ZWE</v>
      </c>
      <c r="E157" s="56">
        <v>5</v>
      </c>
      <c r="F157" s="63">
        <f>VLOOKUP($D157,'All data'!$E$2:$M$2281,2,0)</f>
        <v>14645.473</v>
      </c>
      <c r="G157" s="63">
        <f>VLOOKUP($D157,'All data'!$E$2:$M$2281,4,0)</f>
        <v>61.5</v>
      </c>
      <c r="H157" s="64">
        <f>VLOOKUP($D157,'All data'!$E$2:$M$2281,5,0)</f>
        <v>2.6935231685638428</v>
      </c>
      <c r="I157" s="64">
        <f>VLOOKUP($D157,'All data'!$E$2:$M$2281,6,0)</f>
        <v>0.98044227142675311</v>
      </c>
      <c r="J157" s="99">
        <f>VLOOKUP($D157,'All data'!$E$2:$M$2281,7,0)</f>
        <v>28.640191331837105</v>
      </c>
      <c r="K157" s="56">
        <f>VLOOKUP($C$5,'All data'!$G$2285:$J$2299,4,0)</f>
        <v>1.56</v>
      </c>
      <c r="L157" s="100">
        <f>VLOOKUP($D157,'All data'!$E$2:$M$2281,9,0)</f>
        <v>2835.9485318954371</v>
      </c>
    </row>
    <row r="158" spans="1:12">
      <c r="A158" s="97">
        <f t="shared" si="8"/>
        <v>149</v>
      </c>
      <c r="B158" s="56" t="s">
        <v>150</v>
      </c>
      <c r="C158" s="56" t="str">
        <f>VLOOKUP(B158,'country codes'!$A$3:$B$287,2,0)</f>
        <v>LSO</v>
      </c>
      <c r="D158" s="98" t="str">
        <f t="shared" si="9"/>
        <v>2019LSO</v>
      </c>
      <c r="E158" s="56">
        <v>5</v>
      </c>
      <c r="F158" s="63">
        <f>VLOOKUP($D158,'All data'!$E$2:$M$2281,2,0)</f>
        <v>2125.2669999999998</v>
      </c>
      <c r="G158" s="63">
        <f>VLOOKUP($D158,'All data'!$E$2:$M$2281,4,0)</f>
        <v>54.3</v>
      </c>
      <c r="H158" s="64">
        <f>VLOOKUP($D158,'All data'!$E$2:$M$2281,5,0)</f>
        <v>3.5117805004119873</v>
      </c>
      <c r="I158" s="64">
        <f>VLOOKUP($D158,'All data'!$E$2:$M$2281,6,0)</f>
        <v>1.4538698132663797</v>
      </c>
      <c r="J158" s="99">
        <f>VLOOKUP($D158,'All data'!$E$2:$M$2281,7,0)</f>
        <v>27.308550364714044</v>
      </c>
      <c r="K158" s="56">
        <f>VLOOKUP($C$5,'All data'!$G$2285:$J$2299,4,0)</f>
        <v>1.56</v>
      </c>
      <c r="L158" s="100">
        <f>VLOOKUP($D158,'All data'!$E$2:$M$2281,9,0)</f>
        <v>2704.4152612496541</v>
      </c>
    </row>
    <row r="159" spans="1:12">
      <c r="A159" s="97">
        <f t="shared" si="8"/>
        <v>150</v>
      </c>
      <c r="B159" s="56" t="s">
        <v>153</v>
      </c>
      <c r="C159" s="56" t="str">
        <f>VLOOKUP(B159,'country codes'!$A$3:$B$287,2,0)</f>
        <v>CAF</v>
      </c>
      <c r="D159" s="98" t="str">
        <f t="shared" si="9"/>
        <v>2019CAF</v>
      </c>
      <c r="E159" s="56">
        <v>5</v>
      </c>
      <c r="F159" s="63">
        <f>VLOOKUP($D159,'All data'!$E$2:$M$2281,2,0)</f>
        <v>4745.1790000000001</v>
      </c>
      <c r="G159" s="63">
        <f>VLOOKUP($D159,'All data'!$E$2:$M$2281,4,0)</f>
        <v>53.3</v>
      </c>
      <c r="H159" s="64">
        <f>VLOOKUP($D159,'All data'!$E$2:$M$2281,5,0)</f>
        <v>3.0844615697860718</v>
      </c>
      <c r="I159" s="64">
        <f>VLOOKUP($D159,'All data'!$E$2:$M$2281,6,0)</f>
        <v>1.2080265902376555</v>
      </c>
      <c r="J159" s="99">
        <f>VLOOKUP($D159,'All data'!$E$2:$M$2281,7,0)</f>
        <v>25.211463339256845</v>
      </c>
      <c r="K159" s="56">
        <f>VLOOKUP($C$5,'All data'!$G$2285:$J$2299,4,0)</f>
        <v>1.56</v>
      </c>
      <c r="L159" s="100">
        <f>VLOOKUP($D159,'All data'!$E$2:$M$2281,9,0)</f>
        <v>944.86809348786574</v>
      </c>
    </row>
    <row r="160" spans="1:12">
      <c r="A160" s="97">
        <f t="shared" si="8"/>
        <v>151</v>
      </c>
      <c r="B160" s="56" t="s">
        <v>154</v>
      </c>
      <c r="C160" s="56" t="str">
        <f>VLOOKUP(B160,'country codes'!$A$3:$B$287,2,0)</f>
        <v>MNG</v>
      </c>
      <c r="D160" s="98" t="str">
        <f t="shared" si="9"/>
        <v>2019MNG</v>
      </c>
      <c r="E160" s="56">
        <v>8</v>
      </c>
      <c r="F160" s="63">
        <f>VLOOKUP($D160,'All data'!$E$2:$M$2281,2,0)</f>
        <v>3225.1660000000002</v>
      </c>
      <c r="G160" s="63">
        <f>VLOOKUP($D160,'All data'!$E$2:$M$2281,4,0)</f>
        <v>69.900000000000006</v>
      </c>
      <c r="H160" s="64">
        <f>VLOOKUP($D160,'All data'!$E$2:$M$2281,5,0)</f>
        <v>5.5629053115844727</v>
      </c>
      <c r="I160" s="64">
        <f>VLOOKUP($D160,'All data'!$E$2:$M$2281,6,0)</f>
        <v>10.084713310645537</v>
      </c>
      <c r="J160" s="99">
        <f>VLOOKUP($D160,'All data'!$E$2:$M$2281,7,0)</f>
        <v>24.467036622228875</v>
      </c>
      <c r="K160" s="56">
        <f>VLOOKUP($C$5,'All data'!$G$2285:$J$2299,4,0)</f>
        <v>1.56</v>
      </c>
      <c r="L160" s="100">
        <f>VLOOKUP($D160,'All data'!$E$2:$M$2281,9,0)</f>
        <v>12316.787553597902</v>
      </c>
    </row>
    <row r="161" spans="1:12">
      <c r="A161" s="102">
        <f t="shared" si="8"/>
        <v>152</v>
      </c>
      <c r="B161" s="103" t="s">
        <v>155</v>
      </c>
      <c r="C161" s="103" t="str">
        <f>VLOOKUP(B161,'country codes'!$A$3:$B$287,2,0)</f>
        <v>QAT</v>
      </c>
      <c r="D161" s="104" t="str">
        <f t="shared" si="9"/>
        <v>2019QAT</v>
      </c>
      <c r="E161" s="103">
        <v>4</v>
      </c>
      <c r="F161" s="105">
        <f>VLOOKUP($D161,'All data'!$E$2:$M$2281,2,0)</f>
        <v>2832.0709999999999</v>
      </c>
      <c r="G161" s="105">
        <f>VLOOKUP($D161,'All data'!$E$2:$M$2281,4,0)</f>
        <v>80.2</v>
      </c>
      <c r="H161" s="71">
        <f>VLOOKUP($D161,'All data'!$E$2:$M$2281,5,0)</f>
        <v>6.3745293617248535</v>
      </c>
      <c r="I161" s="71">
        <f>VLOOKUP($D161,'All data'!$E$2:$M$2281,6,0)</f>
        <v>15.037588564111585</v>
      </c>
      <c r="J161" s="106">
        <f>VLOOKUP($D161,'All data'!$E$2:$M$2281,7,0)</f>
        <v>24.326553764477001</v>
      </c>
      <c r="K161" s="103">
        <f>VLOOKUP($C$5,'All data'!$G$2285:$J$2299,4,0)</f>
        <v>1.56</v>
      </c>
      <c r="L161" s="107">
        <f>VLOOKUP($D161,'All data'!$E$2:$M$2281,9,0)</f>
        <v>90043.926180467068</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5546875" defaultRowHeight="15"/>
  <cols>
    <col min="1" max="1" width="9.7109375" customWidth="1"/>
    <col min="2" max="2" width="21" customWidth="1"/>
    <col min="3" max="3" width="8.28515625" customWidth="1"/>
    <col min="4" max="4" width="12.7109375" customWidth="1"/>
    <col min="6" max="6" width="13.7109375" customWidth="1"/>
    <col min="7" max="7" width="15.42578125" customWidth="1"/>
    <col min="8" max="8" width="19.140625" style="10" customWidth="1"/>
    <col min="9" max="9" width="19.140625" customWidth="1"/>
    <col min="10" max="10" width="23" customWidth="1"/>
    <col min="11" max="11" width="11" style="1" customWidth="1"/>
    <col min="12" max="12" width="12.85546875" customWidth="1"/>
    <col min="13" max="13" width="12.42578125" customWidth="1"/>
  </cols>
  <sheetData>
    <row r="1" spans="1:13" ht="52.5" customHeight="1">
      <c r="A1" s="2" t="s">
        <v>2</v>
      </c>
      <c r="B1" s="2" t="s">
        <v>3</v>
      </c>
      <c r="C1" s="2" t="s">
        <v>175</v>
      </c>
      <c r="D1" s="2" t="s">
        <v>157</v>
      </c>
      <c r="E1" s="3"/>
      <c r="F1" s="2" t="s">
        <v>336</v>
      </c>
      <c r="G1" s="2" t="s">
        <v>156</v>
      </c>
      <c r="H1" s="2" t="s">
        <v>337</v>
      </c>
      <c r="I1" s="2" t="s">
        <v>338</v>
      </c>
      <c r="J1" s="2" t="s">
        <v>339</v>
      </c>
      <c r="K1" s="4" t="s">
        <v>167</v>
      </c>
      <c r="L1" s="18" t="s">
        <v>340</v>
      </c>
      <c r="M1" s="18"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20"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20"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20"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20"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20"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20"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20"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20"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20"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20"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20"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20"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20"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20"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20"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20"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20"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20"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20"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20"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20"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20"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20"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20"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20"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20"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20"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20"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20"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20"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20"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20"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20"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20"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20"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20"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20"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20"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20"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20"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20"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20"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20"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20"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20"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20"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20"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20"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20"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20"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20"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20"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20"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20"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20"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20"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20"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20"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20"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20"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20"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20"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20"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20"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20"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20"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20"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20"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20"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20"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20"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20"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20"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20"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20"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20"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20"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20"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20"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20"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20"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20"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20"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20"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20"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20"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20"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20"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20"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20"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20"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20"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20"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20"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20"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20"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20"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20"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20"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20"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20"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20"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20"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20"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20"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20"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20"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20"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20"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20"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20"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20"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20"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20"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20"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20"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20"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20"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20"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20"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20"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20"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20"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20"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20"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20"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20"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20"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20"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20"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20"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20"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20"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20"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20"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20"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20"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20"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20"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20"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20"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20"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20"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20"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20"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20"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20"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20"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20"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20"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20"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20"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20">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20">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20">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20">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20">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20">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20">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20">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20">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20">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20">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20">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20">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20">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20">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20">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20">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20">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20">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20">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20">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20">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20">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20">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20">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20">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20">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20">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20">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20">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20">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20">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20">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20">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20">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20">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20">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20">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20">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20">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20">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20">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20">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20">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20">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20">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20">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20">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20">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20">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20">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20">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20">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20">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20">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20">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20">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20">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20">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20">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20">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20">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20">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20">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20">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20">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20">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20">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20">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20">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20">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20">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20">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20">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20">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20">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20">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20">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20">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20">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20">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20">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20">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20">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20">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20">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20">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20">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20">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20">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20">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20">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20">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20">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20">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20">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20">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20">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20">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20">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20">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20">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20">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20">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20">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20">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20">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20">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20">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20">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20">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20">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20">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20">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20">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20">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20">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20">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20">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20">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20">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20">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20">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20">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20">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20">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20">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20">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20">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20">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20"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20">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20">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20">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20">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20">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20">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20">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20"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20">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20">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20">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20">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20">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20">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20">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20">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20"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20">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20"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20">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20">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20">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20">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20">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20">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20">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20">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20">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20">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20">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20">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20">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20">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20">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20">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20">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20">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20">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20">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20">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20">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20">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20">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20">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20">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20">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20">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20">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20">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20">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20">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20">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20">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20">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20">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20">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20">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20">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20">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20">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20">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20">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20">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20">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20">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20">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20">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20">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20">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20">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20">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20">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20">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20">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20">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20">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20">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20">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20">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20">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20">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20">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20"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20">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20">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20">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20">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20">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20">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20">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20">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20">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20">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20">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20">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20">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20">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20">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20">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20">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20">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20">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20">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20">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20">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20">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20">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20">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20"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20">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20">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20">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20">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20">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20">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20">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20">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20">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20">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20">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20">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20">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20">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20">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20">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20">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20">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20">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20">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20">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20">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20">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20">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20">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20">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20">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20">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20">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20">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20">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20">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20">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20">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20">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20"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20">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20">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20">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20">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20">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20">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20">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20">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20">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20">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20">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20">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20">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20">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20">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20">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20">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20">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20">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20">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20">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20">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20">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20">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20">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20">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20">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20">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20">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20">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20">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20">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20">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20">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20">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20">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20">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20">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20">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20">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20">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20">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20">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20">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20">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20">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20">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20">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20">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20">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20">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20">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20">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20">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20">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20">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20">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20">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20">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20">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20">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20">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20">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20">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20">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20">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20">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20">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20">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20">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20">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20">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20">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20">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20">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20">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20">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20">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20">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20">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20">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20">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20">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20">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20">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20">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20">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20">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20">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20">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20">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20">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20">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20"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20">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20">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20">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20">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20">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20">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20">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20">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20">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20">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20">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20">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20">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20">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20">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20">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20">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20"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20">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20">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20">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20">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20">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20">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20">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20">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20">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20">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20">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20">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20">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20">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20">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20">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20">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20">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20">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20">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20">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20">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20">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20">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20">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20">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20">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20">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20">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20">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20">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20">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20">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20">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20">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20">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20">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20">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20"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20">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20">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20">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20">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20">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20">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20">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20">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20">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20">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20">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20">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20">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20">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20">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20">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20">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20">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20">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20">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20">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20">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20">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20">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20">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20">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20">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20">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20">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20">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20">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20">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20">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20">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20">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20">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20">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20">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20">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20">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20">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20">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20">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20">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20">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20">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20">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20">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20">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20">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20">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20">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20">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20">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20">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20">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20">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20">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20">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20">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20">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20">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20">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20">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20">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20">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20">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20">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20">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20">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20">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20">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20">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20">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20">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20">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20">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20">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20">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20">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20">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20">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20">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20">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20">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20">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20">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20">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20">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20">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20">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20">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20">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20">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20">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20">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20">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20">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20">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20">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20">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20">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20">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20">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20">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20">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20">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20">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20">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20">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20">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20">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20">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20">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20">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20">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20"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20">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20">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20">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20">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20">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20">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20">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20">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20">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20">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20">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20">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20">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20">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20">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20">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20">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20"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20">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20">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20">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20">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20">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20">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20">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20">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20">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20">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20">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20">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20">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20">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20">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20">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20">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20">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20">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20">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20">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20">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20">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20">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20">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20">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20">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20">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20">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20">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20">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20">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20">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20">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20">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20">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20">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20">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20">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20">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20">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20">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20"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20">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20">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20">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20">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20">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20">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20">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20">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20">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20">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20">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20">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20">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20">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20">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20">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20">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20">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20">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20">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20">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20">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20">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20">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20">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20">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20">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20">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20">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20">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20">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20">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20">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20">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20">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20">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20">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20">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20">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20">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20">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20">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20">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20">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20">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20">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20">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20">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20">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20">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20">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20">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20">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20">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20">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20">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20">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20">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20">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20">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20">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20">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20">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20"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20">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20">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20">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20">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20">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20">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20">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20">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20">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20">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20">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20">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20">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20">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20">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20">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20">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20">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20">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20">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20">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20">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20">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20">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20">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20">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20">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20">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20">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20">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20">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20">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20">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20">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20">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20">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20">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20">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20">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20">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20">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20">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20">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20">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20">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20">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20">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20">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20">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20">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20">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20">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20">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20">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20">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20">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20">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20"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20">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20">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20">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20">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20">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20">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20">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20">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20">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20">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20">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20">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20">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20">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20">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20">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20">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20">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20">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20">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20">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20">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20">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20">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20">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20">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20">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20">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20">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20"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20">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20">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20">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20">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20">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20">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20">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20">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20">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20">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20">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20">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20">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20">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20">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20">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20">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20">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20">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20">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20">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20">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20">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20">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20">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20">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20">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20">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20">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20">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20">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20">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20">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20">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20">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20">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20">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20">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20">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20">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20">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20">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20">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20">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20">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20">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20">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20">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20"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20">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20">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20">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20">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20">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20">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20">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20">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20">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20">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20">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20">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20">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20">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20">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20">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20">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20">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20">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20">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20">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20">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20">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20">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20">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20">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20">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20">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20">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20">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20">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20">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20">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20">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20">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20">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20">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20">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20">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20">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20">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20">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20"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20">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20">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20">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20">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20">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20">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20">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20">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20">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20">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20">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20">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20">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20">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20">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20">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20">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20">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20">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20">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20">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20">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20">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20">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20">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20">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20">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20">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20">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20">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20">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20">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20">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20">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20">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20">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20">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20">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20">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20">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20">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20">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20">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20">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20">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20">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20">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20">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20">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20">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20">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20">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20">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20">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20">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20">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20">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20">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20">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20"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20">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20">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20">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20">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20">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20">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20">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20">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20">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20">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20">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20">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20">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20">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20">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20">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20">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20">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20">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20">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20">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20">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20">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20">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20">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20">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20">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20">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20">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20">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20">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20">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20">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20">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20">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20">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20">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20"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20">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20">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20">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20">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20">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20">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20">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20">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20">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20">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20">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20">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20">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20">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20">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20">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20">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20">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20">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20">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20">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20">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20">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20">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20">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20">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20">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20">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20">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20">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20">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20">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20">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20">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20">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20">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20">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20">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20">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20">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20">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20">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20">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20">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20">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20">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20">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20">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20"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20">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20">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20">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20">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20">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20">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20">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20">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20">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20">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20">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20">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20">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20">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20">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20">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20">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20">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20">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20">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20">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20">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20">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20">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20">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20">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20">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20">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20">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20">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20">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20">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20">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20">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20">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20">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20">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20">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20">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20">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20">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20">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20">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20">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20">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20">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20">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20">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20">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20">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20">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20">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20">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20">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20">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20">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20">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20">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20">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20">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20">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20">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20">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20">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20"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20">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20">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20">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20">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20">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20">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20">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20">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20">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20">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20">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20">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20">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20">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20">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20">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20">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20">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20">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20">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20">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20">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20">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20"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20">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20">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20">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20">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20">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20">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20">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20">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20">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20">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20">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20">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20">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20">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20">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20">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20">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20">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20">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20">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20">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20">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20">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20">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20">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20">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20">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20">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20">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20">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20">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20">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20">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20">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20">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20">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20">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20">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20">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20">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20">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20">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20">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20">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20">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20">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20">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20">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20">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20">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20">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20">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20">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20">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20">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20">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20">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20">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20">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20">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20">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20">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20">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20">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20"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20">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20">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20">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20">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20">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20">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20">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20">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20">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20">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20">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20">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20">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20">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20">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20">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20">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20">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20">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20">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20">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20">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20">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20">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20">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20">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20">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20">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20">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20">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20">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20">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20">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20">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20">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20">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20">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20">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20">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20">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20">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20">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20">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20">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20">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20">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20">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20">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20">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20">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20">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20">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20">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20">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20">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20">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20">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20">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20">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20">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20">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20">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20"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20">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20">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20">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20">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20">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20">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20">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20">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20">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20">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20">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20">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20">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20">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20">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20">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20">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20">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20">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20">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20">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20">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20">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20">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20">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20">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20">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20">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20"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20">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20">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20">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20">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20">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20">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20">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20">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20">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20">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20">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20">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20">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20">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20">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20">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20">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20">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20">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20">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20">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20">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20">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20">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20">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20">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20">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20">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20">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20">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20">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20">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20">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20">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20">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20">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20">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20">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20">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20">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20">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20">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20">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20">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20">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20">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20">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20">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20">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20">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20">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20">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20">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20">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20">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20">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20">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20">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20">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20">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20">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20">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20">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20">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20">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20">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20">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20"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20">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20">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20">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20">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20">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20">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20">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20">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20">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20">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20">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20">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20">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20">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20">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20">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20">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20">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20">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20">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20">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20">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20">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20">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20">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20">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20">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20">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20">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20">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20">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20">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20">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20">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20">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20">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20">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20">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20">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20">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20">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20">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20">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20">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20">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20">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20">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20">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20">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20">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20">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20">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20">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20">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20">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20"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20">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20">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20"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20"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20"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20"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20"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20"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20"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20"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20"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20"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20"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20"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20"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20"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20"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20"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20"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20"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20"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20"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20"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20"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20"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20"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20"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20"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20"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20"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20"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20"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20"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20"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20"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20"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20"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20"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20"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20"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20"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20"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20"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20"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20"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20"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20"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20"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20"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20"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20"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20"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20"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20"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20"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20"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20"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20"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20"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20"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20"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20"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20"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20"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20"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20"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20"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20"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20"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20"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20"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20"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20"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20"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20"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20"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20"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20"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20"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20"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20"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20"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20"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20"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20"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20"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20"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20"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20"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20"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20"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20"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20"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20"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20"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20"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20"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20"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20"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20"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20"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20"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20"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20"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20"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20"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20"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20"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20"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20"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20"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20"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20"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20"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20"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20"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20"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20"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20"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20"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20"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20"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20"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20"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20"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20"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20"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20"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20"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20"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20"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20"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20"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20"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20"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20"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20"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20"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20"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20"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20"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20"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20"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20"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20"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20"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20"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20"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20"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20"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20"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20"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20"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20"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20"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20"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20"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20"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20"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20"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20"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20"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20"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20"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20"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20"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20"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20"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20"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20"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20"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20"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20"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20"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20"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20"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20"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20"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20"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20"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20"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20"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20"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20"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20"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20"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20"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20"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20"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20"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20"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20"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20"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20"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20"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20"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20"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20"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20"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20"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20"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20"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20"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20"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20"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20"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20"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20"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20"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20"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20"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20"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20"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20"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20"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20"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20"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20"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20"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20"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20"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20"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20"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20"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20"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20"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20"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20"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20"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20"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20"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20"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20"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20"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20"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20"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20"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20"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20"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20"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20"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20"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20"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20"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20"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20"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20"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20"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20"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20"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20"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20"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20"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20"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20"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20"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20"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20"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20"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20"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20"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20"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20"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20"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20"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20"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20"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20"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20"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20"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20"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20"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20"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20"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20"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20"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20"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20"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20"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20"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20"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20"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20"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20"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20"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20"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20"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20"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20"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20"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20"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20"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20"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20"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20"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20"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20"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20"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20"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20"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20"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20"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20"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20"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20"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20"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20"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20"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20"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20"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20"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20"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20"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20"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20"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20"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20"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20"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20"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20"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20"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20"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20"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20"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20"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20"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20"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20"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20"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20"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20"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20"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20"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20"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20"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20"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20"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20"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20"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20"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20"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20"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20"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20"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20"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20"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20"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20"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20"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20"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20"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20"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20"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20"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20"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20"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20"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20"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20"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20"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20"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20"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20"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20"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20"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20"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20"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20"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20"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20"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20"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20"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20"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20"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20"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20"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20"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20"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20"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20"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20"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20"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20"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20"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20"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20"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20"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20"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20"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20"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20"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20"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20"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20"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20"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20"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20"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20"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20"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20"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20"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20"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20"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20"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20"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20"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20"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20"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20"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20"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20"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20"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20"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20"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20"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20"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20"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20"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20"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20"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20"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20"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20"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20"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20"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20"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20"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20"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20"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20"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20"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20"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20"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20"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20"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20"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20"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20"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20"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20"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20"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20"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20"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20"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20"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20"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20"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20"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20"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20"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20"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20"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20"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20"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20"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20"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20"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20"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20"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20"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20"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20"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20"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20"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20"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20"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20"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20"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20"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20"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20"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20"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20"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20"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20"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20"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20"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20"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20"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20"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20"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20"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20"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20"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20"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20"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20"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20"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20"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20"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20"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20"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20"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20"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20"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20"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20"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20"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20"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20"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20"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20"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20"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20"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20"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20"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20"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20"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20"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20"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20"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20"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20"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20"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20"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20"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20"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20"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20"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20"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20"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20"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20"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20"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20"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20"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20"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20"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20"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20"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20"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20"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20"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20"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20"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20"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20"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20"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20"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20"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20"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20"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20"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20"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20"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20"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20"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20"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20"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20"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20"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20"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20"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20"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20"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20"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20"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20"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20"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20"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20"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20"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20"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20"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20"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20"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20"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20"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20"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20"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20"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20"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20"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20"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20"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20"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20"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20"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20"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20"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20"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20"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20"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20"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20"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20"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20"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20"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20"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20"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20"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20"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20"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20"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20"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20"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20"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20"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20"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20"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20"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20"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20"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20"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20"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20"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20"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20"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20"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20"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20"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20"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20"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20"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20"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20"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20"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20"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20"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20"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20"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20"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20"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20"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20"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20"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20"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20"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20"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20"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20"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20"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20"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20"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20"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20"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20"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20"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20"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20"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20"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20"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20"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20"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20"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20"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20"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20"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20"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20"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20"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20"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20"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20"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20"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20"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20"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20"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20"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20"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20"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20"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20"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20"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20"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20"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20"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20"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20"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20"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20"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20"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20"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20"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20"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20"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20"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20"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20"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20"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20"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20"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20"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20"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20"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20"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20"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20"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20"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20"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20"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20"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20"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20"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20"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20"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20"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20"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20"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20"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20"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20"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20"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20"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20"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20"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20"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20"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20"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20"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20"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20"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20"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20"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20"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20"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20"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20"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20"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20"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20"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20"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20"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20"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20"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20"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20"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20"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20"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20"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20"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20"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20"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20"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20"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20"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20"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20"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20"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20"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20"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20"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20"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20"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20"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20"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20"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20"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20"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20"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20"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20"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20"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20"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20"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20"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20"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20"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20"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20"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20"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20"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topLeftCell="A4" zoomScale="85" zoomScaleNormal="85" workbookViewId="0">
      <selection activeCell="F7" sqref="F7"/>
    </sheetView>
  </sheetViews>
  <sheetFormatPr defaultColWidth="8.85546875" defaultRowHeight="14.25"/>
  <cols>
    <col min="1" max="1" width="4.28515625" style="45" customWidth="1"/>
    <col min="2" max="2" width="13.42578125" style="45" customWidth="1"/>
    <col min="3" max="5" width="13.140625" style="45" customWidth="1"/>
    <col min="6" max="6" width="8.85546875" style="45"/>
    <col min="7" max="7" width="8.140625" style="45" customWidth="1"/>
    <col min="8" max="8" width="8.85546875" style="45"/>
    <col min="9" max="12" width="11.85546875" style="45" customWidth="1"/>
    <col min="13" max="16384" width="8.85546875" style="45"/>
  </cols>
  <sheetData>
    <row r="1" spans="1:8" s="87" customFormat="1" ht="26.25">
      <c r="B1" s="90" t="s">
        <v>369</v>
      </c>
    </row>
    <row r="2" spans="1:8" ht="18">
      <c r="B2" s="120" t="s">
        <v>388</v>
      </c>
    </row>
    <row r="4" spans="1:8" ht="19.5">
      <c r="A4" s="86" t="s">
        <v>356</v>
      </c>
      <c r="B4" s="52"/>
      <c r="C4" s="52"/>
      <c r="D4" s="52"/>
      <c r="E4" s="52"/>
    </row>
    <row r="5" spans="1:8" ht="15" thickBot="1"/>
    <row r="6" spans="1:8" ht="18">
      <c r="B6" s="53" t="s">
        <v>171</v>
      </c>
      <c r="C6" s="54"/>
      <c r="D6" s="55"/>
      <c r="E6" s="45" t="s">
        <v>331</v>
      </c>
    </row>
    <row r="7" spans="1:8" ht="18.75" thickBot="1">
      <c r="B7" s="189" t="s">
        <v>138</v>
      </c>
      <c r="C7" s="190"/>
      <c r="D7" s="191"/>
      <c r="E7" s="56" t="str">
        <f>VLOOKUP(B7,'country codes'!$A$3:$B$287,2,0)</f>
        <v>AFG</v>
      </c>
    </row>
    <row r="9" spans="1:8">
      <c r="B9" s="77" t="s">
        <v>344</v>
      </c>
    </row>
    <row r="10" spans="1:8" ht="45">
      <c r="B10" s="57"/>
      <c r="C10" s="58" t="s">
        <v>366</v>
      </c>
      <c r="D10" s="58" t="s">
        <v>367</v>
      </c>
      <c r="E10" s="58" t="s">
        <v>368</v>
      </c>
      <c r="F10" s="59" t="s">
        <v>167</v>
      </c>
      <c r="G10" s="60" t="s">
        <v>332</v>
      </c>
      <c r="H10" s="61" t="s">
        <v>361</v>
      </c>
    </row>
    <row r="11" spans="1:8" ht="15">
      <c r="A11" s="56"/>
      <c r="B11" s="62">
        <v>2006</v>
      </c>
      <c r="C11" s="63">
        <f>VLOOKUP($B11&amp;$E$7,'All data'!$E$2:$K$2281,4,0)</f>
        <v>58.8</v>
      </c>
      <c r="D11" s="64" t="str">
        <f>VLOOKUP($B11&amp;$E$7,'All data'!$E$2:$K$2281,5,0)</f>
        <v/>
      </c>
      <c r="E11" s="64">
        <f>VLOOKUP($B11&amp;$E$7,'All data'!$E$2:$K$2281,6,0)</f>
        <v>0.62208291193006404</v>
      </c>
      <c r="F11" s="65" t="str">
        <f>VLOOKUP($B11&amp;$E$7,'All data'!$E$2:$K$2281,7,0)</f>
        <v/>
      </c>
      <c r="G11" s="66"/>
      <c r="H11" s="67">
        <v>1.74</v>
      </c>
    </row>
    <row r="12" spans="1:8" ht="15">
      <c r="B12" s="68">
        <v>2007</v>
      </c>
      <c r="C12" s="63">
        <f>VLOOKUP($B12&amp;$E$7,'All data'!$E$2:$K$2281,4,0)</f>
        <v>59.4</v>
      </c>
      <c r="D12" s="64" t="str">
        <f>VLOOKUP($B12&amp;$E$7,'All data'!$E$2:$K$2281,5,0)</f>
        <v/>
      </c>
      <c r="E12" s="64">
        <f>VLOOKUP($B12&amp;$E$7,'All data'!$E$2:$K$2281,6,0)</f>
        <v>0.662415204167633</v>
      </c>
      <c r="F12" s="65" t="str">
        <f>VLOOKUP($B12&amp;$E$7,'All data'!$E$2:$K$2281,7,0)</f>
        <v/>
      </c>
      <c r="G12" s="66" t="str">
        <f>IF(ISNUMBER(F12),COUNTIFS('All data'!$G$2:$G$2281,B12,'All data'!$K$2:$K$2281,"&gt;"&amp;F12)+1,"")</f>
        <v/>
      </c>
      <c r="H12" s="67">
        <v>1.72</v>
      </c>
    </row>
    <row r="13" spans="1:8" ht="15">
      <c r="B13" s="68">
        <v>2008</v>
      </c>
      <c r="C13" s="63">
        <f>VLOOKUP($B13&amp;$E$7,'All data'!$E$2:$K$2281,4,0)</f>
        <v>59.9</v>
      </c>
      <c r="D13" s="64">
        <f>VLOOKUP($B13&amp;$E$7,'All data'!$E$2:$K$2281,5,0)</f>
        <v>3.7235898971557617</v>
      </c>
      <c r="E13" s="64">
        <f>VLOOKUP($B13&amp;$E$7,'All data'!$E$2:$K$2281,6,0)</f>
        <v>0.64575882180292099</v>
      </c>
      <c r="F13" s="65">
        <f>VLOOKUP($B13&amp;$E$7,'All data'!$E$2:$K$2281,7,0)</f>
        <v>36.536091387604159</v>
      </c>
      <c r="G13" s="66">
        <f>IF(ISNUMBER(F13),COUNTIFS('All data'!$G$2:$G$2281,B13,'All data'!$K$2:$K$2281,"&gt;"&amp;F13)+1,"")</f>
        <v>90</v>
      </c>
      <c r="H13" s="67">
        <v>1.72</v>
      </c>
    </row>
    <row r="14" spans="1:8" ht="15">
      <c r="B14" s="68">
        <v>2009</v>
      </c>
      <c r="C14" s="63">
        <f>VLOOKUP($B14&amp;$E$7,'All data'!$E$2:$K$2281,4,0)</f>
        <v>60.5</v>
      </c>
      <c r="D14" s="64">
        <f>VLOOKUP($B14&amp;$E$7,'All data'!$E$2:$K$2281,5,0)</f>
        <v>4.4017782211303711</v>
      </c>
      <c r="E14" s="64">
        <f>VLOOKUP($B14&amp;$E$7,'All data'!$E$2:$K$2281,6,0)</f>
        <v>0.75210749077447003</v>
      </c>
      <c r="F14" s="65">
        <f>VLOOKUP($B14&amp;$E$7,'All data'!$E$2:$K$2281,7,0)</f>
        <v>40.826796282659359</v>
      </c>
      <c r="G14" s="66">
        <f>IF(ISNUMBER(F14),COUNTIFS('All data'!$G$2:$G$2281,B14,'All data'!$K$2:$K$2281,"&gt;"&amp;F14)+1,"")</f>
        <v>82</v>
      </c>
      <c r="H14" s="67">
        <v>1.69</v>
      </c>
    </row>
    <row r="15" spans="1:8" ht="15">
      <c r="B15" s="68">
        <v>2010</v>
      </c>
      <c r="C15" s="63">
        <f>VLOOKUP($B15&amp;$E$7,'All data'!$E$2:$K$2281,4,0)</f>
        <v>61</v>
      </c>
      <c r="D15" s="64">
        <f>VLOOKUP($B15&amp;$E$7,'All data'!$E$2:$K$2281,5,0)</f>
        <v>4.7583808898925781</v>
      </c>
      <c r="E15" s="64">
        <f>VLOOKUP($B15&amp;$E$7,'All data'!$E$2:$K$2281,6,0)</f>
        <v>0.77686634879466598</v>
      </c>
      <c r="F15" s="65">
        <f>VLOOKUP($B15&amp;$E$7,'All data'!$E$2:$K$2281,7,0)</f>
        <v>43.426891193302453</v>
      </c>
      <c r="G15" s="66">
        <f>IF(ISNUMBER(F15),COUNTIFS('All data'!$G$2:$G$2281,B15,'All data'!$K$2:$K$2281,"&gt;"&amp;F15)+1,"")</f>
        <v>61</v>
      </c>
      <c r="H15" s="67">
        <v>1.68</v>
      </c>
    </row>
    <row r="16" spans="1:8" ht="15">
      <c r="B16" s="68">
        <v>2011</v>
      </c>
      <c r="C16" s="63">
        <f>VLOOKUP($B16&amp;$E$7,'All data'!$E$2:$K$2281,4,0)</f>
        <v>61.6</v>
      </c>
      <c r="D16" s="64">
        <f>VLOOKUP($B16&amp;$E$7,'All data'!$E$2:$K$2281,5,0)</f>
        <v>3.8317191600799561</v>
      </c>
      <c r="E16" s="64">
        <f>VLOOKUP($B16&amp;$E$7,'All data'!$E$2:$K$2281,6,0)</f>
        <v>0.75786863355734602</v>
      </c>
      <c r="F16" s="65">
        <f>VLOOKUP($B16&amp;$E$7,'All data'!$E$2:$K$2281,7,0)</f>
        <v>37.668961913428859</v>
      </c>
      <c r="G16" s="66">
        <f>IF(ISNUMBER(F16),COUNTIFS('All data'!$G$2:$G$2281,B16,'All data'!$K$2:$K$2281,"&gt;"&amp;F16)+1,"")</f>
        <v>103</v>
      </c>
      <c r="H16" s="67">
        <v>1.66</v>
      </c>
    </row>
    <row r="17" spans="2:18" ht="15">
      <c r="B17" s="68">
        <v>2012</v>
      </c>
      <c r="C17" s="63">
        <f>VLOOKUP($B17&amp;$E$7,'All data'!$E$2:$K$2281,4,0)</f>
        <v>62.1</v>
      </c>
      <c r="D17" s="64">
        <f>VLOOKUP($B17&amp;$E$7,'All data'!$E$2:$K$2281,5,0)</f>
        <v>3.7829375267028809</v>
      </c>
      <c r="E17" s="64">
        <f>VLOOKUP($B17&amp;$E$7,'All data'!$E$2:$K$2281,6,0)</f>
        <v>0.76351266136478702</v>
      </c>
      <c r="F17" s="65">
        <f>VLOOKUP($B17&amp;$E$7,'All data'!$E$2:$K$2281,7,0)</f>
        <v>37.536713931446513</v>
      </c>
      <c r="G17" s="66">
        <f>IF(ISNUMBER(F17),COUNTIFS('All data'!$G$2:$G$2281,B17,'All data'!$K$2:$K$2281,"&gt;"&amp;F17)+1,"")</f>
        <v>106</v>
      </c>
      <c r="H17" s="67">
        <v>1.63</v>
      </c>
    </row>
    <row r="18" spans="2:18" ht="15">
      <c r="B18" s="68">
        <v>2013</v>
      </c>
      <c r="C18" s="63">
        <f>VLOOKUP($B18&amp;$E$7,'All data'!$E$2:$K$2281,4,0)</f>
        <v>62.5</v>
      </c>
      <c r="D18" s="64">
        <f>VLOOKUP($B18&amp;$E$7,'All data'!$E$2:$K$2281,5,0)</f>
        <v>3.5721004009246826</v>
      </c>
      <c r="E18" s="64">
        <f>VLOOKUP($B18&amp;$E$7,'All data'!$E$2:$K$2281,6,0)</f>
        <v>0.74001508514797598</v>
      </c>
      <c r="F18" s="65">
        <f>VLOOKUP($B18&amp;$E$7,'All data'!$E$2:$K$2281,7,0)</f>
        <v>36.55420164921852</v>
      </c>
      <c r="G18" s="66">
        <f>IF(ISNUMBER(F18),COUNTIFS('All data'!$G$2:$G$2281,B18,'All data'!$K$2:$K$2281,"&gt;"&amp;F18)+1,"")</f>
        <v>109</v>
      </c>
      <c r="H18" s="67">
        <v>1.64</v>
      </c>
    </row>
    <row r="19" spans="2:18" ht="15">
      <c r="B19" s="68">
        <v>2014</v>
      </c>
      <c r="C19" s="63">
        <f>VLOOKUP($B19&amp;$E$7,'All data'!$E$2:$K$2281,4,0)</f>
        <v>63</v>
      </c>
      <c r="D19" s="64">
        <f>VLOOKUP($B19&amp;$E$7,'All data'!$E$2:$K$2281,5,0)</f>
        <v>3.1308956146240234</v>
      </c>
      <c r="E19" s="64">
        <f>VLOOKUP($B19&amp;$E$7,'All data'!$E$2:$K$2281,6,0)</f>
        <v>0.73606945174793303</v>
      </c>
      <c r="F19" s="65">
        <f>VLOOKUP($B19&amp;$E$7,'All data'!$E$2:$K$2281,7,0)</f>
        <v>33.833397962925559</v>
      </c>
      <c r="G19" s="66">
        <f>IF(ISNUMBER(F19),COUNTIFS('All data'!$G$2:$G$2281,B19,'All data'!$K$2:$K$2281,"&gt;"&amp;F19)+1,"")</f>
        <v>122</v>
      </c>
      <c r="H19" s="67">
        <v>1.63</v>
      </c>
    </row>
    <row r="20" spans="2:18" ht="15">
      <c r="B20" s="68">
        <v>2015</v>
      </c>
      <c r="C20" s="63">
        <f>VLOOKUP($B20&amp;$E$7,'All data'!$E$2:$K$2281,4,0)</f>
        <v>63.4</v>
      </c>
      <c r="D20" s="64">
        <f>VLOOKUP($B20&amp;$E$7,'All data'!$E$2:$K$2281,5,0)</f>
        <v>3.9828546047210693</v>
      </c>
      <c r="E20" s="64">
        <f>VLOOKUP($B20&amp;$E$7,'All data'!$E$2:$K$2281,6,0)</f>
        <v>0.70566288347573103</v>
      </c>
      <c r="F20" s="65">
        <f>VLOOKUP($B20&amp;$E$7,'All data'!$E$2:$K$2281,7,0)</f>
        <v>40.10080812133009</v>
      </c>
      <c r="G20" s="66">
        <f>IF(ISNUMBER(F20),COUNTIFS('All data'!$G$2:$G$2281,B20,'All data'!$K$2:$K$2281,"&gt;"&amp;F20)+1,"")</f>
        <v>94</v>
      </c>
      <c r="H20" s="67">
        <v>1.61</v>
      </c>
    </row>
    <row r="21" spans="2:18" ht="15">
      <c r="B21" s="68">
        <v>2016</v>
      </c>
      <c r="C21" s="63">
        <f>VLOOKUP($B21&amp;$E$7,'All data'!$E$2:$K$2281,4,0)</f>
        <v>63.8</v>
      </c>
      <c r="D21" s="64">
        <f>VLOOKUP($B21&amp;$E$7,'All data'!$E$2:$K$2281,5,0)</f>
        <v>4.2201685905456543</v>
      </c>
      <c r="E21" s="64">
        <f>VLOOKUP($B21&amp;$E$7,'All data'!$E$2:$K$2281,6,0)</f>
        <v>0.70134223218971403</v>
      </c>
      <c r="F21" s="65">
        <f>VLOOKUP($B21&amp;$E$7,'All data'!$E$2:$K$2281,7,0)</f>
        <v>42.042749233352296</v>
      </c>
      <c r="G21" s="66">
        <f>IF(ISNUMBER(F21),COUNTIFS('All data'!$G$2:$G$2281,B21,'All data'!$K$2:$K$2281,"&gt;"&amp;F21)+1,"")</f>
        <v>83</v>
      </c>
      <c r="H21" s="67">
        <v>1.6</v>
      </c>
    </row>
    <row r="22" spans="2:18" ht="15">
      <c r="B22" s="68">
        <v>2017</v>
      </c>
      <c r="C22" s="63">
        <f>VLOOKUP($B22&amp;$E$7,'All data'!$E$2:$K$2281,4,0)</f>
        <v>64.099999999999994</v>
      </c>
      <c r="D22" s="64">
        <f>VLOOKUP($B22&amp;$E$7,'All data'!$E$2:$K$2281,5,0)</f>
        <v>2.6617181301116943</v>
      </c>
      <c r="E22" s="64">
        <f>VLOOKUP($B22&amp;$E$7,'All data'!$E$2:$K$2281,6,0)</f>
        <v>0.66404706834691896</v>
      </c>
      <c r="F22" s="65">
        <f>VLOOKUP($B22&amp;$E$7,'All data'!$E$2:$K$2281,7,0)</f>
        <v>31.463232319655464</v>
      </c>
      <c r="G22" s="66">
        <f>IF(ISNUMBER(F22),COUNTIFS('All data'!$G$2:$G$2281,B22,'All data'!$K$2:$K$2281,"&gt;"&amp;F22)+1,"")</f>
        <v>143</v>
      </c>
      <c r="H22" s="67">
        <v>1.6</v>
      </c>
    </row>
    <row r="23" spans="2:18" ht="15">
      <c r="B23" s="68">
        <v>2018</v>
      </c>
      <c r="C23" s="63">
        <f>VLOOKUP($B23&amp;$E$7,'All data'!$E$2:$K$2281,4,0)</f>
        <v>64.5</v>
      </c>
      <c r="D23" s="64">
        <f>VLOOKUP($B23&amp;$E$7,'All data'!$E$2:$K$2281,5,0)</f>
        <v>2.6943032741546631</v>
      </c>
      <c r="E23" s="64">
        <f>VLOOKUP($B23&amp;$E$7,'All data'!$E$2:$K$2281,6,0)</f>
        <v>0.72698864915873251</v>
      </c>
      <c r="F23" s="65">
        <f>VLOOKUP($B23&amp;$E$7,'All data'!$E$2:$K$2281,7,0)</f>
        <v>31.540553534851547</v>
      </c>
      <c r="G23" s="66">
        <f>IF(ISNUMBER(F23),COUNTIFS('All data'!$G$2:$G$2281,B23,'All data'!$K$2:$K$2281,"&gt;"&amp;F23)+1,"")</f>
        <v>140</v>
      </c>
      <c r="H23" s="67">
        <v>1.57</v>
      </c>
    </row>
    <row r="24" spans="2:18" ht="15">
      <c r="B24" s="68">
        <v>2019</v>
      </c>
      <c r="C24" s="63">
        <f>VLOOKUP($B24&amp;$E$7,'All data'!$E$2:$K$2281,4,0)</f>
        <v>64.8</v>
      </c>
      <c r="D24" s="64">
        <f>VLOOKUP($B24&amp;$E$7,'All data'!$E$2:$K$2281,5,0)</f>
        <v>2.3750917911529541</v>
      </c>
      <c r="E24" s="64">
        <f>VLOOKUP($B24&amp;$E$7,'All data'!$E$2:$K$2281,6,0)</f>
        <v>0.73209174728481574</v>
      </c>
      <c r="F24" s="65">
        <f>VLOOKUP($B24&amp;$E$7,'All data'!$E$2:$K$2281,7,0)</f>
        <v>29.409203208169547</v>
      </c>
      <c r="G24" s="66">
        <f>IF(ISNUMBER(F24),COUNTIFS('All data'!$G$2:$G$2281,B24,'All data'!$K$2:$K$2281,"&gt;"&amp;F24)+1,"")</f>
        <v>146</v>
      </c>
      <c r="H24" s="67">
        <v>1.56</v>
      </c>
    </row>
    <row r="25" spans="2:18" ht="15">
      <c r="B25" s="69">
        <v>2020</v>
      </c>
      <c r="C25" s="70">
        <f>VLOOKUP($B25&amp;$E$7,'All data'!$E$2:$K$2281,4,0)</f>
        <v>64.894260550458711</v>
      </c>
      <c r="D25" s="71" t="str">
        <f>VLOOKUP($B25&amp;$E$7,'All data'!$E$2:$K$2281,5,0)</f>
        <v/>
      </c>
      <c r="E25" s="71" t="str">
        <f>VLOOKUP($B25&amp;$E$7,'All data'!$E$2:$K$2281,6,0)</f>
        <v/>
      </c>
      <c r="F25" s="72" t="str">
        <f>VLOOKUP($B25&amp;$E$7,'All data'!$E$2:$K$2281,7,0)</f>
        <v/>
      </c>
      <c r="G25" s="73"/>
      <c r="H25" s="67">
        <v>1.55</v>
      </c>
    </row>
    <row r="28" spans="2:18" ht="44.1" customHeight="1">
      <c r="B28" s="74" t="s">
        <v>174</v>
      </c>
      <c r="C28" s="75">
        <f>SLOPE(C11:C25,$B$11:$B$25)</f>
        <v>0.44771365661861051</v>
      </c>
      <c r="D28" s="75">
        <f>SLOPE(D11:D25,$B$11:$B$25)</f>
        <v>-0.14956852939579038</v>
      </c>
      <c r="E28" s="75">
        <f>SLOPE(E11:E25,$B$11:$B$25)</f>
        <v>3.3071378353336954E-3</v>
      </c>
      <c r="F28" s="76">
        <f>SLOPE(F11:F25,$B$11:$B$25)</f>
        <v>-0.76530472495316426</v>
      </c>
    </row>
    <row r="30" spans="2:18" ht="15" customHeight="1">
      <c r="B30" s="188" t="s">
        <v>390</v>
      </c>
      <c r="C30" s="188"/>
      <c r="D30" s="188"/>
      <c r="E30" s="188"/>
      <c r="F30" s="188"/>
      <c r="G30" s="188"/>
      <c r="H30" s="188"/>
      <c r="I30" s="188"/>
      <c r="J30" s="188"/>
      <c r="K30" s="188"/>
      <c r="L30" s="188"/>
      <c r="M30" s="188"/>
      <c r="N30" s="188"/>
      <c r="O30" s="188"/>
      <c r="P30" s="188"/>
      <c r="Q30" s="188"/>
      <c r="R30" s="78"/>
    </row>
    <row r="31" spans="2:18" ht="36" customHeight="1">
      <c r="B31" s="188"/>
      <c r="C31" s="188"/>
      <c r="D31" s="188"/>
      <c r="E31" s="188"/>
      <c r="F31" s="188"/>
      <c r="G31" s="188"/>
      <c r="H31" s="188"/>
      <c r="I31" s="188"/>
      <c r="J31" s="188"/>
      <c r="K31" s="188"/>
      <c r="L31" s="188"/>
      <c r="M31" s="188"/>
      <c r="N31" s="188"/>
      <c r="O31" s="188"/>
      <c r="P31" s="188"/>
      <c r="Q31" s="188"/>
      <c r="R31" s="78"/>
    </row>
    <row r="32" spans="2:18">
      <c r="I32" s="78"/>
      <c r="J32" s="78"/>
      <c r="K32" s="78"/>
      <c r="L32" s="78"/>
      <c r="M32" s="78"/>
      <c r="N32" s="78"/>
      <c r="O32" s="78"/>
      <c r="P32" s="78"/>
      <c r="Q32" s="78"/>
      <c r="R32" s="78"/>
    </row>
    <row r="33" spans="2:18">
      <c r="B33" s="77" t="s">
        <v>357</v>
      </c>
      <c r="I33" s="78"/>
      <c r="J33" s="78"/>
      <c r="K33" s="78"/>
      <c r="L33" s="78"/>
      <c r="M33" s="78"/>
      <c r="N33" s="78"/>
      <c r="O33" s="78"/>
      <c r="P33" s="78"/>
      <c r="Q33" s="78"/>
      <c r="R33" s="78"/>
    </row>
    <row r="34" spans="2:18">
      <c r="B34" s="45" t="s">
        <v>173</v>
      </c>
      <c r="C34" s="79">
        <v>72.071378289473657</v>
      </c>
      <c r="D34" s="79">
        <v>5.4187128611696505</v>
      </c>
      <c r="E34" s="79">
        <v>3.1879510716378019</v>
      </c>
      <c r="F34" s="79">
        <v>42.731843594241042</v>
      </c>
    </row>
    <row r="35" spans="2:18">
      <c r="B35" s="45" t="s">
        <v>172</v>
      </c>
      <c r="C35" s="79">
        <v>8.7578442566529411</v>
      </c>
      <c r="D35" s="79">
        <v>1.1249771790903924</v>
      </c>
      <c r="E35" s="79">
        <v>2.5333371833785616</v>
      </c>
      <c r="F35" s="79">
        <v>8.6978750014987192</v>
      </c>
    </row>
    <row r="37" spans="2:18" ht="19.5">
      <c r="B37" s="88" t="s">
        <v>335</v>
      </c>
      <c r="C37" s="89"/>
      <c r="D37" s="89"/>
      <c r="E37" s="89"/>
      <c r="F37" s="89"/>
    </row>
    <row r="38" spans="2:18" ht="30">
      <c r="C38" s="80" t="s">
        <v>169</v>
      </c>
      <c r="D38" s="80" t="s">
        <v>168</v>
      </c>
      <c r="E38" s="80" t="s">
        <v>170</v>
      </c>
      <c r="F38" s="80" t="s">
        <v>167</v>
      </c>
    </row>
    <row r="39" spans="2:18" ht="15">
      <c r="B39" s="81">
        <v>2006</v>
      </c>
      <c r="C39" s="82">
        <f t="shared" ref="C39:F53" si="0">IF(ISNUMBER(C11),(C11-C$34)/C$35,NA())</f>
        <v>-1.5153704382664706</v>
      </c>
      <c r="D39" s="82" t="e">
        <f t="shared" si="0"/>
        <v>#N/A</v>
      </c>
      <c r="E39" s="82">
        <f t="shared" si="0"/>
        <v>-1.0128411553513739</v>
      </c>
      <c r="F39" s="82" t="e">
        <f t="shared" si="0"/>
        <v>#N/A</v>
      </c>
    </row>
    <row r="40" spans="2:18" ht="15">
      <c r="B40" s="83">
        <v>2007</v>
      </c>
      <c r="C40" s="82">
        <f t="shared" si="0"/>
        <v>-1.4468604279926285</v>
      </c>
      <c r="D40" s="82" t="e">
        <f t="shared" si="0"/>
        <v>#N/A</v>
      </c>
      <c r="E40" s="82">
        <f t="shared" si="0"/>
        <v>-0.99692053787408264</v>
      </c>
      <c r="F40" s="82" t="e">
        <f t="shared" si="0"/>
        <v>#N/A</v>
      </c>
    </row>
    <row r="41" spans="2:18" ht="15">
      <c r="B41" s="83">
        <v>2008</v>
      </c>
      <c r="C41" s="82">
        <f t="shared" si="0"/>
        <v>-1.3897687527644269</v>
      </c>
      <c r="D41" s="82">
        <f t="shared" si="0"/>
        <v>-1.5068065339640857</v>
      </c>
      <c r="E41" s="82">
        <f t="shared" si="0"/>
        <v>-1.0034954156574254</v>
      </c>
      <c r="F41" s="82">
        <f t="shared" si="0"/>
        <v>-0.71232941443390496</v>
      </c>
    </row>
    <row r="42" spans="2:18" ht="15">
      <c r="B42" s="83">
        <v>2009</v>
      </c>
      <c r="C42" s="82">
        <f t="shared" si="0"/>
        <v>-1.3212587424905851</v>
      </c>
      <c r="D42" s="82">
        <f t="shared" si="0"/>
        <v>-0.90396023931927971</v>
      </c>
      <c r="E42" s="82">
        <f t="shared" si="0"/>
        <v>-0.96151574170430476</v>
      </c>
      <c r="F42" s="82">
        <f t="shared" si="0"/>
        <v>-0.21902445266843071</v>
      </c>
    </row>
    <row r="43" spans="2:18" ht="15">
      <c r="B43" s="83">
        <v>2010</v>
      </c>
      <c r="C43" s="82">
        <f t="shared" si="0"/>
        <v>-1.2641670672623835</v>
      </c>
      <c r="D43" s="82">
        <f t="shared" si="0"/>
        <v>-0.58697365915545774</v>
      </c>
      <c r="E43" s="82">
        <f t="shared" si="0"/>
        <v>-0.95174252312817476</v>
      </c>
      <c r="F43" s="82">
        <f t="shared" si="0"/>
        <v>7.9910046872557747E-2</v>
      </c>
    </row>
    <row r="44" spans="2:18" ht="15">
      <c r="B44" s="83">
        <v>2011</v>
      </c>
      <c r="C44" s="82">
        <f t="shared" si="0"/>
        <v>-1.1956570569885414</v>
      </c>
      <c r="D44" s="82">
        <f t="shared" si="0"/>
        <v>-1.410689683832403</v>
      </c>
      <c r="E44" s="82">
        <f t="shared" si="0"/>
        <v>-0.95924160985139728</v>
      </c>
      <c r="F44" s="82">
        <f t="shared" si="0"/>
        <v>-0.58208259832887965</v>
      </c>
    </row>
    <row r="45" spans="2:18" ht="15">
      <c r="B45" s="83">
        <v>2012</v>
      </c>
      <c r="C45" s="82">
        <f t="shared" si="0"/>
        <v>-1.1385653817603398</v>
      </c>
      <c r="D45" s="82">
        <f t="shared" si="0"/>
        <v>-1.4540520153390013</v>
      </c>
      <c r="E45" s="82">
        <f t="shared" si="0"/>
        <v>-0.95701370752379877</v>
      </c>
      <c r="F45" s="82">
        <f t="shared" si="0"/>
        <v>-0.59728722957036773</v>
      </c>
    </row>
    <row r="46" spans="2:18" ht="15">
      <c r="B46" s="83">
        <v>2013</v>
      </c>
      <c r="C46" s="82">
        <f t="shared" si="0"/>
        <v>-1.0928920415777788</v>
      </c>
      <c r="D46" s="82">
        <f t="shared" si="0"/>
        <v>-1.6414665955606835</v>
      </c>
      <c r="E46" s="82">
        <f t="shared" si="0"/>
        <v>-0.96628905246050145</v>
      </c>
      <c r="F46" s="82">
        <f t="shared" si="0"/>
        <v>-0.71024726659765292</v>
      </c>
    </row>
    <row r="47" spans="2:18" ht="15">
      <c r="B47" s="83">
        <v>2014</v>
      </c>
      <c r="C47" s="82">
        <f t="shared" si="0"/>
        <v>-1.0358003663495772</v>
      </c>
      <c r="D47" s="82">
        <f t="shared" si="0"/>
        <v>-2.0336565835010596</v>
      </c>
      <c r="E47" s="82">
        <f t="shared" si="0"/>
        <v>-0.96784653696194511</v>
      </c>
      <c r="F47" s="82">
        <f t="shared" si="0"/>
        <v>-1.023059727782039</v>
      </c>
    </row>
    <row r="48" spans="2:18" ht="15">
      <c r="B48" s="83">
        <v>2015</v>
      </c>
      <c r="C48" s="82">
        <f t="shared" si="0"/>
        <v>-0.99012702616701609</v>
      </c>
      <c r="D48" s="82">
        <f t="shared" si="0"/>
        <v>-1.276344341144372</v>
      </c>
      <c r="E48" s="82">
        <f t="shared" si="0"/>
        <v>-0.9798491114600032</v>
      </c>
      <c r="F48" s="82">
        <f t="shared" si="0"/>
        <v>-0.30249175487778357</v>
      </c>
    </row>
    <row r="49" spans="2:6" ht="15">
      <c r="B49" s="83">
        <v>2016</v>
      </c>
      <c r="C49" s="82">
        <f t="shared" si="0"/>
        <v>-0.944453685984455</v>
      </c>
      <c r="D49" s="82">
        <f t="shared" si="0"/>
        <v>-1.0653942967919463</v>
      </c>
      <c r="E49" s="82">
        <f t="shared" si="0"/>
        <v>-0.98155462911251512</v>
      </c>
      <c r="F49" s="82">
        <f t="shared" si="0"/>
        <v>-7.9225599444692929E-2</v>
      </c>
    </row>
    <row r="50" spans="2:6" ht="15">
      <c r="B50" s="83">
        <v>2017</v>
      </c>
      <c r="C50" s="82">
        <f t="shared" si="0"/>
        <v>-0.91019868084753441</v>
      </c>
      <c r="D50" s="82">
        <f t="shared" si="0"/>
        <v>-2.4507116964693827</v>
      </c>
      <c r="E50" s="82">
        <f t="shared" si="0"/>
        <v>-0.99627638194016555</v>
      </c>
      <c r="F50" s="82">
        <f t="shared" si="0"/>
        <v>-1.2955591190542399</v>
      </c>
    </row>
    <row r="51" spans="2:6" ht="15">
      <c r="B51" s="83">
        <v>2018</v>
      </c>
      <c r="C51" s="82">
        <f t="shared" si="0"/>
        <v>-0.86452534066497255</v>
      </c>
      <c r="D51" s="82">
        <f t="shared" si="0"/>
        <v>-2.4217465364211446</v>
      </c>
      <c r="E51" s="82">
        <f t="shared" si="0"/>
        <v>-0.97143105885219339</v>
      </c>
      <c r="F51" s="82">
        <f t="shared" si="0"/>
        <v>-1.2866694517294326</v>
      </c>
    </row>
    <row r="52" spans="2:6" ht="15">
      <c r="B52" s="83">
        <v>2019</v>
      </c>
      <c r="C52" s="82">
        <f t="shared" si="0"/>
        <v>-0.83027033552805185</v>
      </c>
      <c r="D52" s="82">
        <f t="shared" si="0"/>
        <v>-2.7054958327933689</v>
      </c>
      <c r="E52" s="82">
        <f t="shared" si="0"/>
        <v>-0.96941668107431012</v>
      </c>
      <c r="F52" s="82">
        <f t="shared" si="0"/>
        <v>-1.5317121002286063</v>
      </c>
    </row>
    <row r="53" spans="2:6" ht="15">
      <c r="B53" s="83">
        <v>2020</v>
      </c>
      <c r="C53" s="82">
        <f t="shared" si="0"/>
        <v>-0.8195073500608111</v>
      </c>
      <c r="D53" s="82" t="e">
        <f t="shared" si="0"/>
        <v>#N/A</v>
      </c>
      <c r="E53" s="82" t="e">
        <f t="shared" si="0"/>
        <v>#N/A</v>
      </c>
      <c r="F53" s="82" t="e">
        <f t="shared" si="0"/>
        <v>#N/A</v>
      </c>
    </row>
    <row r="54" spans="2:6">
      <c r="B54" s="84"/>
      <c r="C54" s="85"/>
      <c r="D54" s="85"/>
      <c r="E54" s="85"/>
      <c r="F54" s="85"/>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5546875" defaultRowHeight="15"/>
  <cols>
    <col min="1" max="1" width="28.140625" customWidth="1"/>
    <col min="2" max="2" width="9.140625" style="15" customWidth="1"/>
    <col min="3" max="16" width="9.140625" customWidth="1"/>
  </cols>
  <sheetData>
    <row r="1" spans="1:16">
      <c r="A1" s="19"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5546875" defaultRowHeight="15"/>
  <cols>
    <col min="2" max="2" width="24" customWidth="1"/>
    <col min="3" max="4" width="7.7109375" style="15" customWidth="1"/>
    <col min="5" max="5" width="8.85546875" style="15"/>
    <col min="20" max="20" width="9.42578125" customWidth="1"/>
    <col min="22" max="22" width="11.140625" customWidth="1"/>
    <col min="23" max="23" width="8.85546875" style="15"/>
    <col min="39" max="39" width="11.140625" customWidth="1"/>
    <col min="40" max="40" width="8.85546875" style="15"/>
    <col min="56" max="56" width="11.42578125" customWidth="1"/>
    <col min="57" max="57" width="8.85546875" style="15"/>
    <col min="74" max="74" width="9.140625" style="15" customWidth="1"/>
    <col min="75" max="88" width="9.140625" customWidth="1"/>
    <col min="89" max="89" width="0" style="15" hidden="1" customWidth="1"/>
    <col min="90" max="103" width="0" hidden="1" customWidth="1"/>
    <col min="104" max="118" width="9.140625" hidden="1" customWidth="1"/>
    <col min="134" max="134" width="9.140625" style="15" hidden="1" customWidth="1"/>
    <col min="135" max="148" width="9.140625" hidden="1" customWidth="1"/>
    <col min="149" max="149" width="9.140625" style="15" customWidth="1"/>
    <col min="150" max="163" width="9.140625" customWidth="1"/>
    <col min="164" max="164" width="9.140625" style="15" hidden="1" customWidth="1"/>
    <col min="165" max="178" width="9.140625" hidden="1" customWidth="1"/>
  </cols>
  <sheetData>
    <row r="1" spans="1:178">
      <c r="D1"/>
      <c r="E1" s="122"/>
      <c r="F1" s="123"/>
      <c r="G1" s="123"/>
      <c r="H1" s="123"/>
      <c r="I1" s="123"/>
      <c r="J1" s="123"/>
      <c r="K1" s="123"/>
      <c r="L1" s="123"/>
      <c r="M1" s="123"/>
      <c r="N1" s="123"/>
      <c r="O1" s="123"/>
      <c r="P1" s="123"/>
      <c r="Q1" s="123"/>
      <c r="R1" s="123"/>
      <c r="S1" s="123"/>
      <c r="BV1" s="123"/>
      <c r="BW1" s="123"/>
      <c r="BX1" s="123"/>
      <c r="BY1" s="123"/>
      <c r="BZ1" s="123"/>
      <c r="CA1" s="123"/>
      <c r="CB1" s="123"/>
      <c r="CC1" s="123"/>
      <c r="CD1" s="123"/>
      <c r="CE1" s="123"/>
      <c r="CF1" s="123"/>
      <c r="CG1" s="123"/>
      <c r="CH1" s="123"/>
      <c r="CI1" s="123"/>
      <c r="CJ1" s="123"/>
    </row>
    <row r="2" spans="1:178">
      <c r="D2"/>
      <c r="E2" s="185" t="s">
        <v>399</v>
      </c>
      <c r="F2" s="185"/>
      <c r="G2" s="185"/>
      <c r="H2" s="185"/>
      <c r="I2" s="185"/>
      <c r="J2" s="185"/>
      <c r="K2" s="185"/>
      <c r="L2" s="185"/>
      <c r="M2" s="185"/>
      <c r="N2" s="185"/>
      <c r="O2" s="185"/>
      <c r="P2" s="185"/>
      <c r="Q2" s="185"/>
      <c r="R2" s="185"/>
      <c r="S2" s="185"/>
      <c r="T2" s="1"/>
      <c r="W2" s="185" t="s">
        <v>168</v>
      </c>
      <c r="X2" s="185"/>
      <c r="Y2" s="185"/>
      <c r="Z2" s="185"/>
      <c r="AA2" s="185"/>
      <c r="AB2" s="185"/>
      <c r="AC2" s="185"/>
      <c r="AD2" s="185"/>
      <c r="AE2" s="185"/>
      <c r="AF2" s="185"/>
      <c r="AG2" s="185"/>
      <c r="AH2" s="185"/>
      <c r="AI2" s="185"/>
      <c r="AJ2" s="185"/>
      <c r="AK2" s="185"/>
      <c r="AL2" s="123"/>
      <c r="AM2" s="123"/>
      <c r="AN2" s="185" t="s">
        <v>169</v>
      </c>
      <c r="AO2" s="185"/>
      <c r="AP2" s="185"/>
      <c r="AQ2" s="185"/>
      <c r="AR2" s="185"/>
      <c r="AS2" s="185"/>
      <c r="AT2" s="185"/>
      <c r="AU2" s="185"/>
      <c r="AV2" s="185"/>
      <c r="AW2" s="185"/>
      <c r="AX2" s="185"/>
      <c r="AY2" s="185"/>
      <c r="AZ2" s="185"/>
      <c r="BA2" s="185"/>
      <c r="BB2" s="185"/>
      <c r="BC2" s="123"/>
      <c r="BD2" s="123"/>
      <c r="BE2" s="185" t="s">
        <v>170</v>
      </c>
      <c r="BF2" s="185"/>
      <c r="BG2" s="185"/>
      <c r="BH2" s="185"/>
      <c r="BI2" s="185"/>
      <c r="BJ2" s="185"/>
      <c r="BK2" s="185"/>
      <c r="BL2" s="185"/>
      <c r="BM2" s="185"/>
      <c r="BN2" s="185"/>
      <c r="BO2" s="185"/>
      <c r="BP2" s="185"/>
      <c r="BQ2" s="185"/>
      <c r="BR2" s="185"/>
      <c r="BS2" s="185"/>
      <c r="BT2" s="123"/>
      <c r="BU2" s="123"/>
      <c r="BV2" s="185" t="s">
        <v>332</v>
      </c>
      <c r="BW2" s="185"/>
      <c r="BX2" s="185"/>
      <c r="BY2" s="185"/>
      <c r="BZ2" s="185"/>
      <c r="CA2" s="185"/>
      <c r="CB2" s="185"/>
      <c r="CC2" s="185"/>
      <c r="CD2" s="185"/>
      <c r="CE2" s="185"/>
      <c r="CF2" s="185"/>
      <c r="CG2" s="185"/>
      <c r="CH2" s="185"/>
      <c r="CI2" s="185"/>
      <c r="CJ2" s="185"/>
      <c r="CK2" s="19"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24" t="s">
        <v>407</v>
      </c>
      <c r="U3" s="14" t="s">
        <v>408</v>
      </c>
      <c r="V3" s="125"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26">
        <v>2020</v>
      </c>
      <c r="AL3" s="125" t="s">
        <v>410</v>
      </c>
      <c r="AM3" s="125"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25" t="s">
        <v>410</v>
      </c>
      <c r="BD3" s="125"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25" t="s">
        <v>410</v>
      </c>
      <c r="BU3" s="125"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27">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8">
        <f>_xlfn.XLOOKUP(AK$3&amp;$A4,[3]Calcs!$Q$2:$Q$2281,[3]Calcs!$H$2:$H$2281,"")</f>
        <v>6.4583921432495117</v>
      </c>
      <c r="AL4" s="127">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27">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27">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27" t="str">
        <f>IFERROR(E4/VLOOKUP($C4,$C$159:$S$166,E$3-2003,0),"")</f>
        <v/>
      </c>
      <c r="EE4" s="129" cm="1">
        <f t="array" ref="EE4">TREND($EG4:$EQ4,$EG$3:$EQ$3,EE$3)</f>
        <v>0.73324416842369544</v>
      </c>
      <c r="EF4" s="129"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27">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8" t="str">
        <f>_xlfn.XLOOKUP(AK$3&amp;$A5,[3]Calcs!$Q$2:$Q$2281,[3]Calcs!$H$2:$H$2281,"")</f>
        <v/>
      </c>
      <c r="AL5" s="127">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27">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27">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27" t="str">
        <f>IFERROR(E5/VLOOKUP($C5,$C$159:$S$166,E$3-2003,0),"")</f>
        <v/>
      </c>
      <c r="EE5" s="129" cm="1">
        <f t="array" ref="EE5">TREND($EG5:$EQ5,$EG$3:$EQ$3,EE$3)</f>
        <v>0.55719808297294282</v>
      </c>
      <c r="EF5" s="129"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9"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27">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8">
        <f>_xlfn.XLOOKUP(AK$3&amp;$A6,[3]Calcs!$Q$2:$Q$2281,[3]Calcs!$H$2:$H$2281,"")</f>
        <v>5.2953414916992188</v>
      </c>
      <c r="AL6" s="127">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27">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27">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30">
        <f t="shared" ref="ED6:EN6" si="15">AVERAGE($EO6:$EQ6)</f>
        <v>0.74230964986349257</v>
      </c>
      <c r="EE6" s="129">
        <f t="shared" si="15"/>
        <v>0.74230964986349257</v>
      </c>
      <c r="EF6" s="129">
        <f t="shared" si="15"/>
        <v>0.74230964986349257</v>
      </c>
      <c r="EG6" s="129">
        <f t="shared" si="15"/>
        <v>0.74230964986349257</v>
      </c>
      <c r="EH6" s="129">
        <f t="shared" si="15"/>
        <v>0.74230964986349257</v>
      </c>
      <c r="EI6" s="129">
        <f t="shared" si="15"/>
        <v>0.74230964986349257</v>
      </c>
      <c r="EJ6" s="129">
        <f t="shared" si="15"/>
        <v>0.74230964986349257</v>
      </c>
      <c r="EK6" s="129">
        <f t="shared" si="15"/>
        <v>0.74230964986349257</v>
      </c>
      <c r="EL6" s="129">
        <f t="shared" si="15"/>
        <v>0.74230964986349257</v>
      </c>
      <c r="EM6" s="129">
        <f t="shared" si="15"/>
        <v>0.74230964986349257</v>
      </c>
      <c r="EN6" s="129">
        <f t="shared" si="15"/>
        <v>0.74230964986349257</v>
      </c>
      <c r="EO6" s="6">
        <f t="shared" si="11"/>
        <v>0.72148343102695445</v>
      </c>
      <c r="EP6" s="6">
        <f t="shared" si="11"/>
        <v>0.74084817640913747</v>
      </c>
      <c r="EQ6" s="6">
        <f t="shared" si="11"/>
        <v>0.7645973421543858</v>
      </c>
      <c r="ER6" s="129"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27">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8" t="str">
        <f>_xlfn.XLOOKUP(AK$3&amp;$A7,[3]Calcs!$Q$2:$Q$2281,[3]Calcs!$H$2:$H$2281,"")</f>
        <v/>
      </c>
      <c r="AL7" s="127">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27">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27">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27" t="str">
        <f t="shared" ref="ED7:EN18" si="16">IFERROR(E7/VLOOKUP($C7,$C$159:$S$166,E$3-2003,0),"")</f>
        <v/>
      </c>
      <c r="EE7" s="129" cm="1">
        <f t="array" ref="EE7">TREND($EG7:$EQ7,$EG$3:$EQ$3,EE$3)</f>
        <v>0.71437789000045093</v>
      </c>
      <c r="EF7" s="129"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9"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27">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8">
        <f>_xlfn.XLOOKUP(AK$3&amp;$A8,[3]Calcs!$Q$2:$Q$2281,[3]Calcs!$H$2:$H$2281,"")</f>
        <v>6.1731758117675781</v>
      </c>
      <c r="AL8" s="127">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27">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27">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27" t="str">
        <f t="shared" si="16"/>
        <v/>
      </c>
      <c r="EE8" s="129" cm="1">
        <f t="array" ref="EE8">TREND($EG8:$EQ8,$EG$3:$EQ$3,EE$3)</f>
        <v>0.60553533554287498</v>
      </c>
      <c r="EF8" s="129"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27">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8">
        <f>_xlfn.XLOOKUP(AK$3&amp;$A9,[3]Calcs!$Q$2:$Q$2281,[3]Calcs!$H$2:$H$2281,"")</f>
        <v>5.7876157760620117</v>
      </c>
      <c r="AL9" s="127">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27">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27">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27"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27">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8">
        <f>_xlfn.XLOOKUP(AK$3&amp;$A10,[3]Calcs!$Q$2:$Q$2281,[3]Calcs!$H$2:$H$2281,"")</f>
        <v>7.5754895210266113</v>
      </c>
      <c r="AL10" s="127">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27">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27">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27" t="str">
        <f t="shared" si="16"/>
        <v/>
      </c>
      <c r="EE10" s="129">
        <f t="shared" ref="EE10:EN10" si="18">AVERAGE($EO10:$EQ10)</f>
        <v>0.91195873272393124</v>
      </c>
      <c r="EF10" s="129">
        <f t="shared" si="18"/>
        <v>0.91195873272393124</v>
      </c>
      <c r="EG10" s="129">
        <f t="shared" si="18"/>
        <v>0.91195873272393124</v>
      </c>
      <c r="EH10" s="129">
        <f t="shared" si="18"/>
        <v>0.91195873272393124</v>
      </c>
      <c r="EI10" s="129">
        <f t="shared" si="18"/>
        <v>0.91195873272393124</v>
      </c>
      <c r="EJ10" s="129">
        <f t="shared" si="18"/>
        <v>0.91195873272393124</v>
      </c>
      <c r="EK10" s="129">
        <f t="shared" si="18"/>
        <v>0.91195873272393124</v>
      </c>
      <c r="EL10" s="129">
        <f t="shared" si="18"/>
        <v>0.91195873272393124</v>
      </c>
      <c r="EM10" s="129">
        <f t="shared" si="18"/>
        <v>0.91195873272393124</v>
      </c>
      <c r="EN10" s="129">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27">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8">
        <f>_xlfn.XLOOKUP(AK$3&amp;$A11,[3]Calcs!$Q$2:$Q$2281,[3]Calcs!$H$2:$H$2281,"")</f>
        <v>6.7981772422790527</v>
      </c>
      <c r="AL11" s="127">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27">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27">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27"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27">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8">
        <f>_xlfn.XLOOKUP(AK$3&amp;$A12,[3]Calcs!$Q$2:$Q$2281,[3]Calcs!$H$2:$H$2281,"")</f>
        <v>7.5044479370117188</v>
      </c>
      <c r="AL12" s="127">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27">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27">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27"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27">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8">
        <f>_xlfn.XLOOKUP(AK$3&amp;$A13,[3]Calcs!$Q$2:$Q$2281,[3]Calcs!$H$2:$H$2281,"")</f>
        <v>7.1373677253723145</v>
      </c>
      <c r="AL13" s="127">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27">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27">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30"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27">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8">
        <f>_xlfn.XLOOKUP(AK$3&amp;$A14,[3]Calcs!$Q$2:$Q$2281,[3]Calcs!$H$2:$H$2281,"")</f>
        <v>6.2598104476928711</v>
      </c>
      <c r="AL14" s="127">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27">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27">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27"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27">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8">
        <f>_xlfn.XLOOKUP(AK$3&amp;$A15,[3]Calcs!$Q$2:$Q$2281,[3]Calcs!$H$2:$H$2281,"")</f>
        <v>7.2573819160461426</v>
      </c>
      <c r="AL15" s="127">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27">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27">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27">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27">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8">
        <f>_xlfn.XLOOKUP(AK$3&amp;$A16,[3]Calcs!$Q$2:$Q$2281,[3]Calcs!$H$2:$H$2281,"")</f>
        <v>7.0280880928039551</v>
      </c>
      <c r="AL16" s="127">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27">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27">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27">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27">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8">
        <f>_xlfn.XLOOKUP(AK$3&amp;$A17,[3]Calcs!$Q$2:$Q$2281,[3]Calcs!$H$2:$H$2281,"")</f>
        <v>6.5021753311157227</v>
      </c>
      <c r="AL17" s="127">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27">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27">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27"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27">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8">
        <f>_xlfn.XLOOKUP(AK$3&amp;$A18,[3]Calcs!$Q$2:$Q$2281,[3]Calcs!$H$2:$H$2281,"")</f>
        <v>4.5738296508789063</v>
      </c>
      <c r="AL18" s="127">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27">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27">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27"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27">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8">
        <f>_xlfn.XLOOKUP(AK$3&amp;$A19,[3]Calcs!$Q$2:$Q$2281,[3]Calcs!$H$2:$H$2281,"")</f>
        <v>7.5084352493286133</v>
      </c>
      <c r="AL19" s="127">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27">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27">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27" t="str">
        <f t="shared" ref="ED19:EH34" si="19">IFERROR(E19/VLOOKUP($C19,$C$159:$S$166,E$3-2003,0),"")</f>
        <v/>
      </c>
      <c r="EE19" s="129" cm="1">
        <f t="array" ref="EE19">TREND($EG19:$EQ19,$EG$3:$EQ$3,EE$3)</f>
        <v>1.1167762289550351</v>
      </c>
      <c r="EF19" s="129" cm="1">
        <f t="array" ref="EF19">TREND($EG19:$EQ19,$EG$3:$EQ$3,EF$3)</f>
        <v>1.1181427424714014</v>
      </c>
      <c r="EG19" s="6">
        <f>IFERROR(H19/VLOOKUP($C19,$C$159:$S$166,H$3-2003,0),"")</f>
        <v>1.1131430945613956</v>
      </c>
      <c r="EH19" s="129">
        <f>EG19+(EJ19-EG19)/3</f>
        <v>1.1221682179662524</v>
      </c>
      <c r="EI19" s="129">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27">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8" t="str">
        <f>_xlfn.XLOOKUP(AK$3&amp;$A20,[3]Calcs!$Q$2:$Q$2281,[3]Calcs!$H$2:$H$2281,"")</f>
        <v/>
      </c>
      <c r="AL20" s="127">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27">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27">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27" t="str">
        <f t="shared" si="19"/>
        <v/>
      </c>
      <c r="EE20" s="129" cm="1">
        <f t="array" ref="EE20">TREND($EG20:$EM20,$EG$3:$EM$3,EE$3)</f>
        <v>0.58532402174141085</v>
      </c>
      <c r="EF20" s="129"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9">
        <f>EM20+(EQ20-EM20)/4</f>
        <v>0.56047968920589852</v>
      </c>
      <c r="EO20" s="129">
        <f>EM20+(EQ20-EM20)*2/4</f>
        <v>0.5594639486745836</v>
      </c>
      <c r="EP20" s="129">
        <f>EM20+(EQ20-EM20)*3/4</f>
        <v>0.55844820814326868</v>
      </c>
      <c r="EQ20" s="6">
        <f t="shared" ref="EQ20:ER51" si="21">IFERROR(R20/VLOOKUP($C20,$C$159:$S$166,R$3-2003,0),"")</f>
        <v>0.55743246761195375</v>
      </c>
      <c r="ER20" s="129"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27">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8">
        <f>_xlfn.XLOOKUP(AK$3&amp;$A21,[3]Calcs!$Q$2:$Q$2281,[3]Calcs!$H$2:$H$2281,"")</f>
        <v>7.8893499374389648</v>
      </c>
      <c r="AL21" s="127">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27">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27">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27"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27">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8" t="str">
        <f>_xlfn.XLOOKUP(AK$3&amp;$A22,[3]Calcs!$Q$2:$Q$2281,[3]Calcs!$H$2:$H$2281,"")</f>
        <v/>
      </c>
      <c r="AL22" s="127">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27">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27">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27">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9"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27">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8">
        <f>_xlfn.XLOOKUP(AK$3&amp;$A23,[3]Calcs!$Q$2:$Q$2281,[3]Calcs!$H$2:$H$2281,"")</f>
        <v>6.4883561134338379</v>
      </c>
      <c r="AL23" s="127">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27">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27">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27"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27">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8" t="str">
        <f>_xlfn.XLOOKUP(AK$3&amp;$A24,[3]Calcs!$Q$2:$Q$2281,[3]Calcs!$H$2:$H$2281,"")</f>
        <v/>
      </c>
      <c r="AL24" s="127">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27">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27">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27" t="str">
        <f t="shared" si="19"/>
        <v/>
      </c>
      <c r="EE24" s="6">
        <f t="shared" si="19"/>
        <v>0.58420954549084292</v>
      </c>
      <c r="EF24" s="6">
        <f t="shared" si="19"/>
        <v>0.57613170255970081</v>
      </c>
      <c r="EG24" s="129">
        <f>EF24+(EI24-EF24)/3</f>
        <v>0.58733297845423127</v>
      </c>
      <c r="EH24" s="129">
        <f>EF24+(EI24-EF24)*2/3</f>
        <v>0.59853425434876184</v>
      </c>
      <c r="EI24" s="6">
        <f t="shared" si="20"/>
        <v>0.6097355302432923</v>
      </c>
      <c r="EJ24" s="6">
        <f t="shared" si="20"/>
        <v>0.62238210039907349</v>
      </c>
      <c r="EK24" s="6">
        <f t="shared" si="20"/>
        <v>0.60305117880140613</v>
      </c>
      <c r="EL24" s="129">
        <f>EK24+(EO24-EK24)/4</f>
        <v>0.60161448617614888</v>
      </c>
      <c r="EM24" s="129">
        <f>EK24+(EO24-EK24)*2/4</f>
        <v>0.60017779355089163</v>
      </c>
      <c r="EN24" s="129">
        <f>EK24+(EO24-EK24)*3/4</f>
        <v>0.59874110092563437</v>
      </c>
      <c r="EO24" s="6">
        <f t="shared" si="20"/>
        <v>0.59730440830037712</v>
      </c>
      <c r="EP24" s="129">
        <f>AVERAGE(EO24,EQ24)</f>
        <v>0.59140258359160724</v>
      </c>
      <c r="EQ24" s="6">
        <f t="shared" si="21"/>
        <v>0.58550075888283737</v>
      </c>
      <c r="ER24" s="129"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27">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8">
        <f>_xlfn.XLOOKUP(AK$3&amp;$A25,[3]Calcs!$Q$2:$Q$2281,[3]Calcs!$H$2:$H$2281,"")</f>
        <v>7.2900323867797852</v>
      </c>
      <c r="AL25" s="127">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27">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27">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27"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27">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8">
        <f>_xlfn.XLOOKUP(AK$3&amp;$A26,[3]Calcs!$Q$2:$Q$2281,[3]Calcs!$H$2:$H$2281,"")</f>
        <v>6.7141118049621582</v>
      </c>
      <c r="AL26" s="127">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27">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27">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27"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27">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8">
        <f>_xlfn.XLOOKUP(AK$3&amp;$A27,[3]Calcs!$Q$2:$Q$2281,[3]Calcs!$H$2:$H$2281,"")</f>
        <v>6.8387608528137207</v>
      </c>
      <c r="AL27" s="127">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27">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27">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27"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27">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8">
        <f>_xlfn.XLOOKUP(AK$3&amp;$A28,[3]Calcs!$Q$2:$Q$2281,[3]Calcs!$H$2:$H$2281,"")</f>
        <v>7.5146312713623047</v>
      </c>
      <c r="AL28" s="127">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27">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27">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27"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27">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8">
        <f>_xlfn.XLOOKUP(AK$3&amp;$A29,[3]Calcs!$Q$2:$Q$2281,[3]Calcs!$H$2:$H$2281,"")</f>
        <v>6.8970913887023926</v>
      </c>
      <c r="AL29" s="127">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27">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27">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30"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27">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8">
        <f>_xlfn.XLOOKUP(AK$3&amp;$A30,[3]Calcs!$Q$2:$Q$2281,[3]Calcs!$H$2:$H$2281,"")</f>
        <v>7.0349307060241699</v>
      </c>
      <c r="AL30" s="127">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27">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27">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27"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27">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8">
        <f>_xlfn.XLOOKUP(AK$3&amp;$A31,[3]Calcs!$Q$2:$Q$2281,[3]Calcs!$H$2:$H$2281,"")</f>
        <v>7.3118977546691895</v>
      </c>
      <c r="AL31" s="127">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27">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27">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27"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27">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8">
        <f>_xlfn.XLOOKUP(AK$3&amp;$A32,[3]Calcs!$Q$2:$Q$2281,[3]Calcs!$H$2:$H$2281,"")</f>
        <v>6.5079922676086426</v>
      </c>
      <c r="AL32" s="127">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27">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27">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30"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27">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8">
        <f>_xlfn.XLOOKUP(AK$3&amp;$A33,[3]Calcs!$Q$2:$Q$2281,[3]Calcs!$H$2:$H$2281,"")</f>
        <v>5.2696757316589355</v>
      </c>
      <c r="AL33" s="127">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27">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27">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27">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27">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8" t="str">
        <f>_xlfn.XLOOKUP(AK$3&amp;$A34,[3]Calcs!$Q$2:$Q$2281,[3]Calcs!$H$2:$H$2281,"")</f>
        <v/>
      </c>
      <c r="AL34" s="127">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27">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27">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27"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9"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27">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8">
        <f>_xlfn.XLOOKUP(AK$3&amp;$A35,[3]Calcs!$Q$2:$Q$2281,[3]Calcs!$H$2:$H$2281,"")</f>
        <v>6.5190982818603516</v>
      </c>
      <c r="AL35" s="127">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27">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27">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27">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27">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8">
        <f>_xlfn.XLOOKUP(AK$3&amp;$A36,[3]Calcs!$Q$2:$Q$2281,[3]Calcs!$H$2:$H$2281,"")</f>
        <v>6.4620761871337891</v>
      </c>
      <c r="AL36" s="127">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27">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27">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27">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27">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8">
        <f>_xlfn.XLOOKUP(AK$3&amp;$A37,[3]Calcs!$Q$2:$Q$2281,[3]Calcs!$H$2:$H$2281,"")</f>
        <v>4.946800708770752</v>
      </c>
      <c r="AL37" s="127">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27">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27">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27">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27">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8">
        <f>_xlfn.XLOOKUP(AK$3&amp;$A38,[3]Calcs!$Q$2:$Q$2281,[3]Calcs!$H$2:$H$2281,"")</f>
        <v>7.024904727935791</v>
      </c>
      <c r="AL38" s="127">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27">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27">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30"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27">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8">
        <f>_xlfn.XLOOKUP(AK$3&amp;$A39,[3]Calcs!$Q$2:$Q$2281,[3]Calcs!$H$2:$H$2281,"")</f>
        <v>5.0536642074584961</v>
      </c>
      <c r="AL39" s="127">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27">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27">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30"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27">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8">
        <f>_xlfn.XLOOKUP(AK$3&amp;$A40,[3]Calcs!$Q$2:$Q$2281,[3]Calcs!$H$2:$H$2281,"")</f>
        <v>7.2134890556335449</v>
      </c>
      <c r="AL40" s="127">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27">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27">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27"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27">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8" t="str">
        <f>_xlfn.XLOOKUP(AK$3&amp;$A41,[3]Calcs!$Q$2:$Q$2281,[3]Calcs!$H$2:$H$2281,"")</f>
        <v/>
      </c>
      <c r="AL41" s="127">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27">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27">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27"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9"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27">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8">
        <f>_xlfn.XLOOKUP(AK$3&amp;$A42,[3]Calcs!$Q$2:$Q$2281,[3]Calcs!$H$2:$H$2281,"")</f>
        <v>5.9642210006713867</v>
      </c>
      <c r="AL42" s="127">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27">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27">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27"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27">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8" t="str">
        <f>_xlfn.XLOOKUP(AK$3&amp;$A43,[3]Calcs!$Q$2:$Q$2281,[3]Calcs!$H$2:$H$2281,"")</f>
        <v/>
      </c>
      <c r="AL43" s="127">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27">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27">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27"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9"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27">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8">
        <f>_xlfn.XLOOKUP(AK$3&amp;$A44,[3]Calcs!$Q$2:$Q$2281,[3]Calcs!$H$2:$H$2281,"")</f>
        <v>6.156822681427002</v>
      </c>
      <c r="AL44" s="127">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27">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27">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27" t="str">
        <f>IFERROR(E44/VLOOKUP($C44,$C$159:$S$166,E$3-2003,0),"")</f>
        <v/>
      </c>
      <c r="EE44" s="129" cm="1">
        <f t="array" ref="EE44">TREND($EG44:$EQ44,$EG$3:$EQ$3,EE$3)</f>
        <v>0.94397937342524507</v>
      </c>
      <c r="EF44" s="129"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27">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8">
        <f>_xlfn.XLOOKUP(AK$3&amp;$A45,[3]Calcs!$Q$2:$Q$2281,[3]Calcs!$H$2:$H$2281,"")</f>
        <v>6.0415463447570801</v>
      </c>
      <c r="AL45" s="127">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27">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27">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30"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27">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8" t="str">
        <f>_xlfn.XLOOKUP(AK$3&amp;$A46,[3]Calcs!$Q$2:$Q$2281,[3]Calcs!$H$2:$H$2281,"")</f>
        <v/>
      </c>
      <c r="AL46" s="127">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27">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27">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27">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9"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27">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8">
        <f>_xlfn.XLOOKUP(AK$3&amp;$A47,[3]Calcs!$Q$2:$Q$2281,[3]Calcs!$H$2:$H$2281,"")</f>
        <v>5.5977230072021484</v>
      </c>
      <c r="AL47" s="127">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27">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27">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30"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27">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8">
        <f>_xlfn.XLOOKUP(AK$3&amp;$A48,[3]Calcs!$Q$2:$Q$2281,[3]Calcs!$H$2:$H$2281,"")</f>
        <v>4.6409096717834473</v>
      </c>
      <c r="AL48" s="127">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27">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27">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27">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9"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27">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8" t="str">
        <f>_xlfn.XLOOKUP(AK$3&amp;$A49,[3]Calcs!$Q$2:$Q$2281,[3]Calcs!$H$2:$H$2281,"")</f>
        <v/>
      </c>
      <c r="AL49" s="127">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27">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27">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27">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9"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27">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8" t="str">
        <f>_xlfn.XLOOKUP(AK$3&amp;$A50,[3]Calcs!$Q$2:$Q$2281,[3]Calcs!$H$2:$H$2281,"")</f>
        <v/>
      </c>
      <c r="AL50" s="127">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27">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27">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30" cm="1">
        <f t="array" ref="ED50">TREND($EF50:$EQ50,$EF$3:$EQ$3,ED$3)</f>
        <v>0.93548987105371806</v>
      </c>
      <c r="EE50" s="129"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9"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27">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8">
        <f>_xlfn.XLOOKUP(AK$3&amp;$A51,[3]Calcs!$Q$2:$Q$2281,[3]Calcs!$H$2:$H$2281,"")</f>
        <v>5.354461669921875</v>
      </c>
      <c r="AL51" s="127">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27">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27">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27"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27">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8">
        <f>_xlfn.XLOOKUP(AK$3&amp;$A52,[3]Calcs!$Q$2:$Q$2281,[3]Calcs!$H$2:$H$2281,"")</f>
        <v>6.1179633140563965</v>
      </c>
      <c r="AL52" s="127">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27">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27">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30"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27">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8" t="str">
        <f>_xlfn.XLOOKUP(AK$3&amp;$A53,[3]Calcs!$Q$2:$Q$2281,[3]Calcs!$H$2:$H$2281,"")</f>
        <v/>
      </c>
      <c r="AL53" s="127">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27">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27">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27">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9"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27">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8">
        <f>_xlfn.XLOOKUP(AK$3&amp;$A54,[3]Calcs!$Q$2:$Q$2281,[3]Calcs!$H$2:$H$2281,"")</f>
        <v>5.5029482841491699</v>
      </c>
      <c r="AL54" s="127">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27">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27">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27">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27">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8">
        <f>_xlfn.XLOOKUP(AK$3&amp;$A55,[3]Calcs!$Q$2:$Q$2281,[3]Calcs!$H$2:$H$2281,"")</f>
        <v>3.1598021984100342</v>
      </c>
      <c r="AL55" s="127">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27">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27">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27">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27">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8" t="str">
        <f>_xlfn.XLOOKUP(AK$3&amp;$A56,[3]Calcs!$Q$2:$Q$2281,[3]Calcs!$H$2:$H$2281,"")</f>
        <v/>
      </c>
      <c r="AL56" s="127">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27">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27">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27"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9"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27">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8" t="str">
        <f>_xlfn.XLOOKUP(AK$3&amp;$A57,[3]Calcs!$Q$2:$Q$2281,[3]Calcs!$H$2:$H$2281,"")</f>
        <v/>
      </c>
      <c r="AL57" s="127">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27">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27">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30" cm="1">
        <f t="array" ref="ED57">TREND($EI57:$EQ57,$EI$3:$EQ$3,ED$3)</f>
        <v>0.8394030353125892</v>
      </c>
      <c r="EE57" s="129" cm="1">
        <f t="array" ref="EE57">TREND($EI57:$EQ57,$EI$3:$EQ$3,EE$3)</f>
        <v>0.82883515520993711</v>
      </c>
      <c r="EF57" s="129" cm="1">
        <f t="array" ref="EF57">TREND($EI57:$EQ57,$EI$3:$EQ$3,EF$3)</f>
        <v>0.81826727510728503</v>
      </c>
      <c r="EG57" s="129" cm="1">
        <f t="array" ref="EG57">TREND($EI57:$EQ57,$EI$3:$EQ$3,EG$3)</f>
        <v>0.80769939500463295</v>
      </c>
      <c r="EH57" s="129" cm="1">
        <f t="array" ref="EH57">TREND($EI57:$EQ57,$EI$3:$EQ$3,EH$3)</f>
        <v>0.79713151490198086</v>
      </c>
      <c r="EI57" s="6">
        <f t="shared" si="31"/>
        <v>0.77936516702188174</v>
      </c>
      <c r="EJ57" s="129">
        <f>EI57+(EN57-EI57)/5</f>
        <v>0.77265289791161773</v>
      </c>
      <c r="EK57" s="129">
        <f>EI57+(EN57-EI57)*2/5</f>
        <v>0.76594062880135372</v>
      </c>
      <c r="EL57" s="129">
        <f>EI57+(EN57-EI57)*3/5</f>
        <v>0.7592283596910897</v>
      </c>
      <c r="EM57" s="129">
        <f>EI57+(EN57-EI57)*4/5</f>
        <v>0.75251609058082569</v>
      </c>
      <c r="EN57" s="6">
        <f t="shared" si="31"/>
        <v>0.74580382147056168</v>
      </c>
      <c r="EO57" s="6">
        <f t="shared" si="31"/>
        <v>0.72380779004893903</v>
      </c>
      <c r="EP57" s="6">
        <f t="shared" si="31"/>
        <v>0.69822032450018445</v>
      </c>
      <c r="EQ57" s="6">
        <f t="shared" si="31"/>
        <v>0.70109394947201475</v>
      </c>
      <c r="ER57" s="129"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27">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8" t="str">
        <f>_xlfn.XLOOKUP(AK$3&amp;$A58,[3]Calcs!$Q$2:$Q$2281,[3]Calcs!$H$2:$H$2281,"")</f>
        <v/>
      </c>
      <c r="AL58" s="127">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27">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27">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27">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9"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27">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8" t="str">
        <f>_xlfn.XLOOKUP(AK$3&amp;$A59,[3]Calcs!$Q$2:$Q$2281,[3]Calcs!$H$2:$H$2281,"")</f>
        <v/>
      </c>
      <c r="AL59" s="127">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27">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27">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27"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9"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27">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8">
        <f>_xlfn.XLOOKUP(AK$3&amp;$A60,[3]Calcs!$Q$2:$Q$2281,[3]Calcs!$H$2:$H$2281,"")</f>
        <v>7.3143410682678223</v>
      </c>
      <c r="AL60" s="127">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27">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27">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27"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27">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8">
        <f>_xlfn.XLOOKUP(AK$3&amp;$A61,[3]Calcs!$Q$2:$Q$2281,[3]Calcs!$H$2:$H$2281,"")</f>
        <v>4.093991756439209</v>
      </c>
      <c r="AL61" s="127">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27">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27">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27"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27">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8">
        <f>_xlfn.XLOOKUP(AK$3&amp;$A62,[3]Calcs!$Q$2:$Q$2281,[3]Calcs!$H$2:$H$2281,"")</f>
        <v>5.3649096488952637</v>
      </c>
      <c r="AL62" s="127">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27">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27">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27">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27">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8">
        <f>_xlfn.XLOOKUP(AK$3&amp;$A63,[3]Calcs!$Q$2:$Q$2281,[3]Calcs!$H$2:$H$2281,"")</f>
        <v>7.0365570364958714</v>
      </c>
      <c r="AL63" s="127">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27">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27">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27"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27">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8" t="str">
        <f>_xlfn.XLOOKUP(AK$3&amp;$A64,[3]Calcs!$Q$2:$Q$2281,[3]Calcs!$H$2:$H$2281,"")</f>
        <v/>
      </c>
      <c r="AL64" s="127">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27">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27">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27">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9"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27">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8" t="str">
        <f>_xlfn.XLOOKUP(AK$3&amp;$A65,[3]Calcs!$Q$2:$Q$2281,[3]Calcs!$H$2:$H$2281,"")</f>
        <v/>
      </c>
      <c r="AL65" s="127">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27">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27">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27">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9"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27">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8" t="str">
        <f>_xlfn.XLOOKUP(AK$3&amp;$A66,[3]Calcs!$Q$2:$Q$2281,[3]Calcs!$H$2:$H$2281,"")</f>
        <v/>
      </c>
      <c r="AL66" s="127">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27">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27">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30"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9"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27">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8" t="str">
        <f>_xlfn.XLOOKUP(AK$3&amp;$A67,[3]Calcs!$Q$2:$Q$2281,[3]Calcs!$H$2:$H$2281,"")</f>
        <v/>
      </c>
      <c r="AL67" s="127">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27">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27">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27">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9"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27">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8">
        <f>_xlfn.XLOOKUP(AK$3&amp;$A68,[3]Calcs!$Q$2:$Q$2281,[3]Calcs!$H$2:$H$2281,"")</f>
        <v>4.4723968505859375</v>
      </c>
      <c r="AL68" s="127">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27">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27">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27"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27">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8" t="str">
        <f>_xlfn.XLOOKUP(AK$3&amp;$A69,[3]Calcs!$Q$2:$Q$2281,[3]Calcs!$H$2:$H$2281,"")</f>
        <v/>
      </c>
      <c r="AL69" s="127">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27">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27">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27">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9"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27">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8" t="str">
        <f>_xlfn.XLOOKUP(AK$3&amp;$A70,[3]Calcs!$Q$2:$Q$2281,[3]Calcs!$H$2:$H$2281,"")</f>
        <v/>
      </c>
      <c r="AL70" s="127">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27">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27">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27">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9"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27">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8" t="str">
        <f>_xlfn.XLOOKUP(AK$3&amp;$A71,[3]Calcs!$Q$2:$Q$2281,[3]Calcs!$H$2:$H$2281,"")</f>
        <v/>
      </c>
      <c r="AL71" s="127">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27">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27">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27">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9"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27">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8">
        <f>_xlfn.XLOOKUP(AK$3&amp;$A72,[3]Calcs!$Q$2:$Q$2281,[3]Calcs!$H$2:$H$2281,"")</f>
        <v>6.1394553184509277</v>
      </c>
      <c r="AL72" s="127">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27">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27">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30"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27">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8" t="str">
        <f>_xlfn.XLOOKUP(AK$3&amp;$A73,[3]Calcs!$Q$2:$Q$2281,[3]Calcs!$H$2:$H$2281,"")</f>
        <v/>
      </c>
      <c r="AL73" s="127">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27">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27">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30" cm="1">
        <f t="array" ref="ED73">TREND($EG73:$EO73,$EG$3:$EO$3,ED$3)</f>
        <v>1.069295827625286</v>
      </c>
      <c r="EE73" s="129" cm="1">
        <f t="array" ref="EE73">TREND($EG73:$EO73,$EG$3:$EO$3,EE$3)</f>
        <v>1.066279248912787</v>
      </c>
      <c r="EF73" s="129"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9">
        <f>AVERAGE(EO73,EQ73)</f>
        <v>1.0292436855940506</v>
      </c>
      <c r="EQ73" s="6">
        <f t="shared" si="38"/>
        <v>1.0405095108393636</v>
      </c>
      <c r="ER73" s="129"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27">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8" t="str">
        <f>_xlfn.XLOOKUP(AK$3&amp;$A74,[3]Calcs!$Q$2:$Q$2281,[3]Calcs!$H$2:$H$2281,"")</f>
        <v/>
      </c>
      <c r="AL74" s="127">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27">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27">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30" cm="1">
        <f t="array" ref="ED74">TREND($EI74:$EQ74,$EI$3:$EQ$3,ED$3)</f>
        <v>0.69098020577029118</v>
      </c>
      <c r="EE74" s="129" cm="1">
        <f t="array" ref="EE74">TREND($EI74:$EQ74,$EI$3:$EQ$3,EE$3)</f>
        <v>0.70488188395596296</v>
      </c>
      <c r="EF74" s="129" cm="1">
        <f t="array" ref="EF74">TREND($EI74:$EQ74,$EI$3:$EQ$3,EF$3)</f>
        <v>0.71878356214163119</v>
      </c>
      <c r="EG74" s="129" cm="1">
        <f t="array" ref="EG74">TREND($EI74:$EQ74,$EI$3:$EQ$3,EG$3)</f>
        <v>0.73268524032730298</v>
      </c>
      <c r="EH74" s="129" cm="1">
        <f t="array" ref="EH74">TREND($EI74:$EQ74,$EI$3:$EQ$3,EH$3)</f>
        <v>0.74658691851297121</v>
      </c>
      <c r="EI74" s="6">
        <f t="shared" ref="EI74:EP105" si="54">IFERROR(J74/VLOOKUP($C74,$C$159:$S$166,J$3-2003,0),"")</f>
        <v>0.76941874961433565</v>
      </c>
      <c r="EJ74" s="129">
        <f>EI74+(EP74-EI74)/7</f>
        <v>0.77949321940756611</v>
      </c>
      <c r="EK74" s="129">
        <f>EI74+(EP74-EI74)*2/7</f>
        <v>0.78956768920079656</v>
      </c>
      <c r="EL74" s="129">
        <f>EI74+(EP74-EI74)*3/7</f>
        <v>0.79964215899402702</v>
      </c>
      <c r="EM74" s="129">
        <f>EI74+(EP74-EI74)*4/7</f>
        <v>0.80971662878725748</v>
      </c>
      <c r="EN74" s="129">
        <f>EI74+(EP74-EI74)*5/7</f>
        <v>0.81979109858048793</v>
      </c>
      <c r="EO74" s="129">
        <f>EI74+(EP74-EI74)*6/7</f>
        <v>0.82986556837371839</v>
      </c>
      <c r="EP74" s="6">
        <f>IFERROR(Q74/VLOOKUP($C74,$C$159:$S$166,Q$3-2003,0),"")</f>
        <v>0.83994003816694884</v>
      </c>
      <c r="EQ74" s="6">
        <f t="shared" ref="EQ74:ER105" si="55">IFERROR(R74/VLOOKUP($C74,$C$159:$S$166,R$3-2003,0),"")</f>
        <v>0.90742263384677779</v>
      </c>
      <c r="ER74" s="129"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27">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8">
        <f>_xlfn.XLOOKUP(AK$3&amp;$A75,[3]Calcs!$Q$2:$Q$2281,[3]Calcs!$H$2:$H$2281,"")</f>
        <v>5.7677922248840332</v>
      </c>
      <c r="AL75" s="127">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27">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27">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27"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27">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8" t="str">
        <f>_xlfn.XLOOKUP(AK$3&amp;$A76,[3]Calcs!$Q$2:$Q$2281,[3]Calcs!$H$2:$H$2281,"")</f>
        <v/>
      </c>
      <c r="AL76" s="127">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27">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27">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27">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9"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27">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8" t="str">
        <f>_xlfn.XLOOKUP(AK$3&amp;$A77,[3]Calcs!$Q$2:$Q$2281,[3]Calcs!$H$2:$H$2281,"")</f>
        <v/>
      </c>
      <c r="AL77" s="127">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27">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27">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27">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9"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27">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8" t="str">
        <f>_xlfn.XLOOKUP(AK$3&amp;$A78,[3]Calcs!$Q$2:$Q$2281,[3]Calcs!$H$2:$H$2281,"")</f>
        <v/>
      </c>
      <c r="AL78" s="127">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27">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27">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30"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9">
        <f>EI78+(EN78-EI78)/5</f>
        <v>0.67591728962047826</v>
      </c>
      <c r="EK78" s="129">
        <f>EI78+(EN78-EI78)*2/5</f>
        <v>0.65569289497286865</v>
      </c>
      <c r="EL78" s="129">
        <f>EI78+(EN78-EI78)*3/5</f>
        <v>0.63546850032525914</v>
      </c>
      <c r="EM78" s="129">
        <f>EI78+(EN78-EI78)*4/5</f>
        <v>0.61524410567764953</v>
      </c>
      <c r="EN78" s="6">
        <f t="shared" si="54"/>
        <v>0.59501971103003992</v>
      </c>
      <c r="EO78" s="6">
        <f t="shared" si="54"/>
        <v>0.6949174403195949</v>
      </c>
      <c r="EP78" s="129">
        <f>AVERAGE(EO78,EQ78)</f>
        <v>0.67108637831860463</v>
      </c>
      <c r="EQ78" s="6">
        <f t="shared" si="55"/>
        <v>0.64725531631761435</v>
      </c>
      <c r="ER78" s="129"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27">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8" t="str">
        <f>_xlfn.XLOOKUP(AK$3&amp;$A79,[3]Calcs!$Q$2:$Q$2281,[3]Calcs!$H$2:$H$2281,"")</f>
        <v/>
      </c>
      <c r="AL79" s="127">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27">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27">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27">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9"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27">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8">
        <f>_xlfn.XLOOKUP(AK$3&amp;$A80,[3]Calcs!$Q$2:$Q$2281,[3]Calcs!$H$2:$H$2281,"")</f>
        <v>4.5465841293334961</v>
      </c>
      <c r="AL80" s="127">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27">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27">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27">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27">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8">
        <f>_xlfn.XLOOKUP(AK$3&amp;$A81,[3]Calcs!$Q$2:$Q$2281,[3]Calcs!$H$2:$H$2281,"")</f>
        <v>4.8645281791687012</v>
      </c>
      <c r="AL81" s="127">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27">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27">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27"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27">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8" t="str">
        <f>_xlfn.XLOOKUP(AK$3&amp;$A82,[3]Calcs!$Q$2:$Q$2281,[3]Calcs!$H$2:$H$2281,"")</f>
        <v/>
      </c>
      <c r="AL82" s="127">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27">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27">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30"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9"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27">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8" t="str">
        <f>_xlfn.XLOOKUP(AK$3&amp;$A83,[3]Calcs!$Q$2:$Q$2281,[3]Calcs!$H$2:$H$2281,"")</f>
        <v/>
      </c>
      <c r="AL83" s="127">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27">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27">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30"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9"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27">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8" t="str">
        <f>_xlfn.XLOOKUP(AK$3&amp;$A84,[3]Calcs!$Q$2:$Q$2281,[3]Calcs!$H$2:$H$2281,"")</f>
        <v/>
      </c>
      <c r="AL84" s="127">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27">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27">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27">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9"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27">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8">
        <f>_xlfn.XLOOKUP(AK$3&amp;$A85,[3]Calcs!$Q$2:$Q$2281,[3]Calcs!$H$2:$H$2281,"")</f>
        <v>3.7856841087341309</v>
      </c>
      <c r="AL85" s="127">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27">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27">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27">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27">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8">
        <f>_xlfn.XLOOKUP(AK$3&amp;$A86,[3]Calcs!$Q$2:$Q$2281,[3]Calcs!$H$2:$H$2281,"")</f>
        <v>6.0153002738952637</v>
      </c>
      <c r="AL86" s="127">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27">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27">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30" cm="1">
        <f t="array" ref="ED86">TREND($EI86:$EQ86,$EI$3:$EQ$3,ED$3)</f>
        <v>1.1751645388583096</v>
      </c>
      <c r="EE86" s="129" cm="1">
        <f t="array" ref="EE86">TREND($EI86:$EQ86,$EI$3:$EQ$3,EE$3)</f>
        <v>1.1824122622266184</v>
      </c>
      <c r="EF86" s="129" cm="1">
        <f t="array" ref="EF86">TREND($EI86:$EQ86,$EI$3:$EQ$3,EF$3)</f>
        <v>1.1896599855949272</v>
      </c>
      <c r="EG86" s="129" cm="1">
        <f t="array" ref="EG86">TREND($EI86:$EQ86,$EI$3:$EQ$3,EG$3)</f>
        <v>1.1969077089632343</v>
      </c>
      <c r="EH86" s="129"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27">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8">
        <f>_xlfn.XLOOKUP(AK$3&amp;$A87,[3]Calcs!$Q$2:$Q$2281,[3]Calcs!$H$2:$H$2281,"")</f>
        <v>5.4952888488769531</v>
      </c>
      <c r="AL87" s="127">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27">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27">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27">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27">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8">
        <f>_xlfn.XLOOKUP(AK$3&amp;$A88,[3]Calcs!$Q$2:$Q$2281,[3]Calcs!$H$2:$H$2281,"")</f>
        <v>5.7091751098632813</v>
      </c>
      <c r="AL88" s="127">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27">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27">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27"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27">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8">
        <f>_xlfn.XLOOKUP(AK$3&amp;$A89,[3]Calcs!$Q$2:$Q$2281,[3]Calcs!$H$2:$H$2281,"")</f>
        <v>4.5492196083068848</v>
      </c>
      <c r="AL89" s="127">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27">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27">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30" cm="1">
        <f t="array" ref="ED89">TREND($EJ89:$EQ89,$EJ$3:$EQ$3,ED$3)</f>
        <v>1.2722117357915259</v>
      </c>
      <c r="EE89" s="129" cm="1">
        <f t="array" ref="EE89">TREND($EJ89:$EQ89,$EJ$3:$EQ$3,EE$3)</f>
        <v>1.2570031342032628</v>
      </c>
      <c r="EF89" s="129" cm="1">
        <f t="array" ref="EF89">TREND($EJ89:$EQ89,$EJ$3:$EQ$3,EF$3)</f>
        <v>1.2417945326149997</v>
      </c>
      <c r="EG89" s="129" cm="1">
        <f t="array" ref="EG89">TREND($EJ89:$EQ89,$EJ$3:$EQ$3,EG$3)</f>
        <v>1.2265859310267366</v>
      </c>
      <c r="EH89" s="129" cm="1">
        <f t="array" ref="EH89">TREND($EJ89:$EQ89,$EJ$3:$EQ$3,EH$3)</f>
        <v>1.2113773294384735</v>
      </c>
      <c r="EI89" s="129"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27">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8">
        <f>_xlfn.XLOOKUP(AK$3&amp;$A90,[3]Calcs!$Q$2:$Q$2281,[3]Calcs!$H$2:$H$2281,"")</f>
        <v>5.4619269371032715</v>
      </c>
      <c r="AL90" s="127">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27">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27">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27"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27">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8">
        <f>_xlfn.XLOOKUP(AK$3&amp;$A91,[3]Calcs!$Q$2:$Q$2281,[3]Calcs!$H$2:$H$2281,"")</f>
        <v>7.1949281692504883</v>
      </c>
      <c r="AL91" s="127">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27">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27">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27"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27">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8" t="str">
        <f>_xlfn.XLOOKUP(AK$3&amp;$A92,[3]Calcs!$Q$2:$Q$2281,[3]Calcs!$H$2:$H$2281,"")</f>
        <v/>
      </c>
      <c r="AL92" s="127">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27">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27">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30" cm="1">
        <f t="array" ref="ED92">TREND($EF92:$EQ92,$EF$3:$EQ$3,ED$3)</f>
        <v>0.85195428295869746</v>
      </c>
      <c r="EE92" s="129"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9"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27">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8" t="str">
        <f>_xlfn.XLOOKUP(AK$3&amp;$A93,[3]Calcs!$Q$2:$Q$2281,[3]Calcs!$H$2:$H$2281,"")</f>
        <v/>
      </c>
      <c r="AL93" s="127">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27">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27">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27"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9"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27">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8" t="str">
        <f>_xlfn.XLOOKUP(AK$3&amp;$A94,[3]Calcs!$Q$2:$Q$2281,[3]Calcs!$H$2:$H$2281,"")</f>
        <v/>
      </c>
      <c r="AL94" s="127">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27">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27">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30">
        <f>AVERAGE($EG94:$EJ94,$EP94:$EQ94)</f>
        <v>1.0114070828431079</v>
      </c>
      <c r="EE94" s="129">
        <f>AVERAGE($EG94:$EJ94,$EP94:$EQ94)</f>
        <v>1.0114070828431079</v>
      </c>
      <c r="EF94" s="129">
        <f>AVERAGE($EG94:$EJ94,$EP94:$EQ94)</f>
        <v>1.0114070828431079</v>
      </c>
      <c r="EG94" s="6">
        <f t="shared" si="62"/>
        <v>0.98431600455880397</v>
      </c>
      <c r="EH94" s="6">
        <f t="shared" si="62"/>
        <v>1.0108602754576612</v>
      </c>
      <c r="EI94" s="6">
        <f t="shared" si="62"/>
        <v>1.0065877551087941</v>
      </c>
      <c r="EJ94" s="6">
        <f t="shared" si="54"/>
        <v>1.0169477733792855</v>
      </c>
      <c r="EK94" s="129">
        <f>AVERAGE($EG94:$EJ94,$EP94:$EQ94)</f>
        <v>1.0114070828431079</v>
      </c>
      <c r="EL94" s="129">
        <f>AVERAGE($EG94:$EJ94,$EP94:$EQ94)</f>
        <v>1.0114070828431079</v>
      </c>
      <c r="EM94" s="129">
        <f>AVERAGE($EG94:$EJ94,$EP94:$EQ94)</f>
        <v>1.0114070828431079</v>
      </c>
      <c r="EN94" s="129">
        <f>AVERAGE($EG94:$EJ94,$EP94:$EQ94)</f>
        <v>1.0114070828431079</v>
      </c>
      <c r="EO94" s="129">
        <f>AVERAGE($EG94:$EJ94,$EP94:$EQ94)</f>
        <v>1.0114070828431079</v>
      </c>
      <c r="EP94" s="6">
        <f t="shared" si="54"/>
        <v>0.96020202395367982</v>
      </c>
      <c r="EQ94" s="6">
        <f t="shared" si="55"/>
        <v>1.089528664600423</v>
      </c>
      <c r="ER94" s="129"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27">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8" t="str">
        <f>_xlfn.XLOOKUP(AK$3&amp;$A95,[3]Calcs!$Q$2:$Q$2281,[3]Calcs!$H$2:$H$2281,"")</f>
        <v/>
      </c>
      <c r="AL95" s="127">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27">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27">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27"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9"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27">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8" t="str">
        <f>_xlfn.XLOOKUP(AK$3&amp;$A96,[3]Calcs!$Q$2:$Q$2281,[3]Calcs!$H$2:$H$2281,"")</f>
        <v/>
      </c>
      <c r="AL96" s="127">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27">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27">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27"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9"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27">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8">
        <f>_xlfn.XLOOKUP(AK$3&amp;$A97,[3]Calcs!$Q$2:$Q$2281,[3]Calcs!$H$2:$H$2281,"")</f>
        <v>6.109717845916748</v>
      </c>
      <c r="AL97" s="127">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27">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27">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27"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27">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8">
        <f>_xlfn.XLOOKUP(AK$3&amp;$A98,[3]Calcs!$Q$2:$Q$2281,[3]Calcs!$H$2:$H$2281,"")</f>
        <v>5.3733987808227539</v>
      </c>
      <c r="AL98" s="127">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27">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27">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27">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27">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8" t="str">
        <f>_xlfn.XLOOKUP(AK$3&amp;$A99,[3]Calcs!$Q$2:$Q$2281,[3]Calcs!$H$2:$H$2281,"")</f>
        <v/>
      </c>
      <c r="AL99" s="127">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27">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27">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30" cm="1">
        <f t="array" ref="ED99">TREND($EF99:$EQ99,$EF$3:$EQ$3,ED$3)</f>
        <v>0.99298390044497253</v>
      </c>
      <c r="EE99" s="129"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9"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27">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8" t="str">
        <f>_xlfn.XLOOKUP(AK$3&amp;$A100,[3]Calcs!$Q$2:$Q$2281,[3]Calcs!$H$2:$H$2281,"")</f>
        <v/>
      </c>
      <c r="AL100" s="127">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27">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27">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27">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9"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27">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8">
        <f>_xlfn.XLOOKUP(AK$3&amp;$A101,[3]Calcs!$Q$2:$Q$2281,[3]Calcs!$H$2:$H$2281,"")</f>
        <v>5.9005670547485352</v>
      </c>
      <c r="AL101" s="127">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27">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27">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27"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27">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8">
        <f>_xlfn.XLOOKUP(AK$3&amp;$A102,[3]Calcs!$Q$2:$Q$2281,[3]Calcs!$H$2:$H$2281,"")</f>
        <v>5.8116288185119629</v>
      </c>
      <c r="AL102" s="127">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27">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27">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27">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27">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8" t="str">
        <f>_xlfn.XLOOKUP(AK$3&amp;$A103,[3]Calcs!$Q$2:$Q$2281,[3]Calcs!$H$2:$H$2281,"")</f>
        <v/>
      </c>
      <c r="AL103" s="127">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27">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27">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27"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9"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27">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8">
        <f>_xlfn.XLOOKUP(AK$3&amp;$A104,[3]Calcs!$Q$2:$Q$2281,[3]Calcs!$H$2:$H$2281,"")</f>
        <v>6.0380496978759766</v>
      </c>
      <c r="AL104" s="127">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27">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27">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30"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27">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8">
        <f>_xlfn.XLOOKUP(AK$3&amp;$A105,[3]Calcs!$Q$2:$Q$2281,[3]Calcs!$H$2:$H$2281,"")</f>
        <v>4.7308111190795898</v>
      </c>
      <c r="AL105" s="127">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27">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27">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27" t="str">
        <f>IFERROR(E105/VLOOKUP($C105,$C$159:$S$166,E$3-2003,0),"")</f>
        <v/>
      </c>
      <c r="EE105" s="129" cm="1">
        <f t="array" ref="EE105">TREND($EG105:$EQ105,$EG$3:$EQ$3,EE$3)</f>
        <v>1.1299448721777239</v>
      </c>
      <c r="EF105" s="129"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27">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8" t="str">
        <f>_xlfn.XLOOKUP(AK$3&amp;$A106,[3]Calcs!$Q$2:$Q$2281,[3]Calcs!$H$2:$H$2281,"")</f>
        <v/>
      </c>
      <c r="AL106" s="127">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27">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27">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30" cm="1">
        <f t="array" ref="ED106">TREND($EI106:$EL106,$EI$3:$EL$3,ED$3)</f>
        <v>1.1761170363973648</v>
      </c>
      <c r="EE106" s="129" cm="1">
        <f t="array" ref="EE106">TREND($EI106:$EL106,$EI$3:$EL$3,EE$3)</f>
        <v>1.1623867710754681</v>
      </c>
      <c r="EF106" s="129" cm="1">
        <f t="array" ref="EF106">TREND($EI106:$EL106,$EI$3:$EL$3,EF$3)</f>
        <v>1.1486565057535714</v>
      </c>
      <c r="EG106" s="129" cm="1">
        <f t="array" ref="EG106">TREND($EI106:$EL106,$EI$3:$EL$3,EG$3)</f>
        <v>1.1349262404316711</v>
      </c>
      <c r="EH106" s="129"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9">
        <f>EL106+(EQ106-EL106)/5</f>
        <v>1.0375421279012067</v>
      </c>
      <c r="EN106" s="129">
        <f>EL106+(EQ106-EL106)*2/5</f>
        <v>1.0323399641620012</v>
      </c>
      <c r="EO106" s="129">
        <f>EL106+(EQ106-EL106)*3/5</f>
        <v>1.027137800422796</v>
      </c>
      <c r="EP106" s="129">
        <f>EL106+(EQ106-EL106)*4/5</f>
        <v>1.0219356366835906</v>
      </c>
      <c r="EQ106" s="6">
        <f t="shared" ref="EQ106:ER137" si="67">IFERROR(R106/VLOOKUP($C106,$C$159:$S$166,R$3-2003,0),"")</f>
        <v>1.0167334729443853</v>
      </c>
      <c r="ER106" s="129"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27">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8">
        <f>_xlfn.XLOOKUP(AK$3&amp;$A107,[3]Calcs!$Q$2:$Q$2281,[3]Calcs!$H$2:$H$2281,"")</f>
        <v>4.8379921913146973</v>
      </c>
      <c r="AL107" s="127">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27">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27">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27">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27">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8" t="str">
        <f>_xlfn.XLOOKUP(AK$3&amp;$A108,[3]Calcs!$Q$2:$Q$2281,[3]Calcs!$H$2:$H$2281,"")</f>
        <v/>
      </c>
      <c r="AL108" s="127">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27">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27">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27" t="str">
        <f>IFERROR(E108/VLOOKUP($C108,$C$159:$S$166,E$3-2003,0),"")</f>
        <v/>
      </c>
      <c r="EE108" s="129" cm="1">
        <f t="array" ref="EE108">TREND($EJ108:$EQ108,$EJ$3:$EQ$3,EE$3)</f>
        <v>0.87979896621794396</v>
      </c>
      <c r="EF108" s="129" cm="1">
        <f t="array" ref="EF108">TREND($EJ108:$EQ108,$EJ$3:$EQ$3,EF$3)</f>
        <v>0.88880663528195214</v>
      </c>
      <c r="EG108" s="129" cm="1">
        <f t="array" ref="EG108">TREND($EJ108:$EQ108,$EJ$3:$EQ$3,EG$3)</f>
        <v>0.89781430434595677</v>
      </c>
      <c r="EH108" s="129" cm="1">
        <f t="array" ref="EH108">TREND($EJ108:$EQ108,$EJ$3:$EQ$3,EH$3)</f>
        <v>0.90682197340996495</v>
      </c>
      <c r="EI108" s="129"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9"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27">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8">
        <f>_xlfn.XLOOKUP(AK$3&amp;$A109,[3]Calcs!$Q$2:$Q$2281,[3]Calcs!$H$2:$H$2281,"")</f>
        <v>5.2410778999328613</v>
      </c>
      <c r="AL109" s="127">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27">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27">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27">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27">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8" t="str">
        <f>_xlfn.XLOOKUP(AK$3&amp;$A110,[3]Calcs!$Q$2:$Q$2281,[3]Calcs!$H$2:$H$2281,"")</f>
        <v/>
      </c>
      <c r="AL110" s="127">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27">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27">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27" t="str">
        <f>IFERROR(E110/VLOOKUP($C110,$C$159:$R$166,E$3-2004,0),"")</f>
        <v/>
      </c>
      <c r="EE110" s="129" cm="1">
        <f t="array" ref="EE110">TREND($EI110:$EQ110,$EI$3:$EQ$3,EE$3)</f>
        <v>0.87103954127125149</v>
      </c>
      <c r="EF110" s="129" cm="1">
        <f t="array" ref="EF110">TREND($EI110:$EQ110,$EI$3:$EQ$3,EF$3)</f>
        <v>0.88815784309946366</v>
      </c>
      <c r="EG110" s="129" cm="1">
        <f t="array" ref="EG110">TREND($EI110:$EQ110,$EI$3:$EQ$3,EG$3)</f>
        <v>0.90527614492766872</v>
      </c>
      <c r="EH110" s="129"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9"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27">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8" t="str">
        <f>_xlfn.XLOOKUP(AK$3&amp;$A111,[3]Calcs!$Q$2:$Q$2281,[3]Calcs!$H$2:$H$2281,"")</f>
        <v/>
      </c>
      <c r="AL111" s="127">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27">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27">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30" cm="1">
        <f t="array" ref="ED111">TREND($EI111:$EQ111,$EI$3:$EQ$3,ED$3)</f>
        <v>0.80654909532731267</v>
      </c>
      <c r="EE111" s="129" cm="1">
        <f t="array" ref="EE111">TREND($EI111:$EQ111,$EI$3:$EQ$3,EE$3)</f>
        <v>0.82404211309262365</v>
      </c>
      <c r="EF111" s="129" cm="1">
        <f t="array" ref="EF111">TREND($EI111:$EQ111,$EI$3:$EQ$3,EF$3)</f>
        <v>0.84153513085794174</v>
      </c>
      <c r="EG111" s="129" cm="1">
        <f t="array" ref="EG111">TREND($EI111:$EQ111,$EI$3:$EQ$3,EG$3)</f>
        <v>0.85902814862325982</v>
      </c>
      <c r="EH111" s="129"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9"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27">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8" t="str">
        <f>_xlfn.XLOOKUP(AK$3&amp;$A112,[3]Calcs!$Q$2:$Q$2281,[3]Calcs!$H$2:$H$2281,"")</f>
        <v/>
      </c>
      <c r="AL112" s="127">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27">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27">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27"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9"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27">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8" t="str">
        <f>_xlfn.XLOOKUP(AK$3&amp;$A113,[3]Calcs!$Q$2:$Q$2281,[3]Calcs!$H$2:$H$2281,"")</f>
        <v/>
      </c>
      <c r="AL113" s="127">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27">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27">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27">
        <f t="shared" ref="ED113:EP126" si="71">IFERROR(E113/VLOOKUP($C113,$C$159:$S$166,E$3-2003,0),"")</f>
        <v>0.92024346330028384</v>
      </c>
      <c r="EE113" s="6">
        <f t="shared" si="71"/>
        <v>0.83758545833499587</v>
      </c>
      <c r="EF113" s="6">
        <f t="shared" si="71"/>
        <v>0.78941429576574873</v>
      </c>
      <c r="EG113" s="129">
        <f>EF113+(EI113-EF113)/3</f>
        <v>0.78664153898004441</v>
      </c>
      <c r="EH113" s="129">
        <f>EF113+(EI113-EF113)*2/3</f>
        <v>0.78386878219433997</v>
      </c>
      <c r="EI113" s="6">
        <f t="shared" si="69"/>
        <v>0.78109602540863565</v>
      </c>
      <c r="EJ113" s="129">
        <f>EI113+(EL113-EI113)/3</f>
        <v>0.77916901717114317</v>
      </c>
      <c r="EK113" s="129">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9"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27">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8">
        <f>_xlfn.XLOOKUP(AK$3&amp;$A114,[3]Calcs!$Q$2:$Q$2281,[3]Calcs!$H$2:$H$2281,"")</f>
        <v>5.079585075378418</v>
      </c>
      <c r="AL114" s="127">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27">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27">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27">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27">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8">
        <f>_xlfn.XLOOKUP(AK$3&amp;$A115,[3]Calcs!$Q$2:$Q$2281,[3]Calcs!$H$2:$H$2281,"")</f>
        <v>4.8026175498962402</v>
      </c>
      <c r="AL115" s="127">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27">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27">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27" t="str">
        <f t="shared" si="71"/>
        <v/>
      </c>
      <c r="EE115" s="129" cm="1">
        <f t="array" ref="EE115">TREND($EH115:$EQ115,$EH$3:$EQ$3,EE$3)</f>
        <v>1.0955551418514418</v>
      </c>
      <c r="EF115" s="129" cm="1">
        <f t="array" ref="EF115">TREND($EH115:$EQ115,$EH$3:$EQ$3,EF$3)</f>
        <v>1.1048743852756253</v>
      </c>
      <c r="EG115" s="129"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27">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8">
        <f>_xlfn.XLOOKUP(AK$3&amp;$A116,[3]Calcs!$Q$2:$Q$2281,[3]Calcs!$H$2:$H$2281,"")</f>
        <v>4.4077458381652832</v>
      </c>
      <c r="AL116" s="127">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27">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27">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27">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27">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8">
        <f>_xlfn.XLOOKUP(AK$3&amp;$A117,[3]Calcs!$Q$2:$Q$2281,[3]Calcs!$H$2:$H$2281,"")</f>
        <v>6.3096814155578613</v>
      </c>
      <c r="AL117" s="127">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27">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27">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27" t="str">
        <f t="shared" si="71"/>
        <v/>
      </c>
      <c r="EE117" s="129">
        <f t="shared" ref="EE117:EN117" si="73">AVERAGE($EO117:$EQ117)</f>
        <v>1.0608274106290161</v>
      </c>
      <c r="EF117" s="129">
        <f t="shared" si="73"/>
        <v>1.0608274106290161</v>
      </c>
      <c r="EG117" s="129">
        <f t="shared" si="73"/>
        <v>1.0608274106290161</v>
      </c>
      <c r="EH117" s="129">
        <f t="shared" si="73"/>
        <v>1.0608274106290161</v>
      </c>
      <c r="EI117" s="129">
        <f t="shared" si="73"/>
        <v>1.0608274106290161</v>
      </c>
      <c r="EJ117" s="129">
        <f t="shared" si="73"/>
        <v>1.0608274106290161</v>
      </c>
      <c r="EK117" s="129">
        <f t="shared" si="73"/>
        <v>1.0608274106290161</v>
      </c>
      <c r="EL117" s="129">
        <f t="shared" si="73"/>
        <v>1.0608274106290161</v>
      </c>
      <c r="EM117" s="129">
        <f t="shared" si="73"/>
        <v>1.0608274106290161</v>
      </c>
      <c r="EN117" s="129">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27">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8">
        <f>_xlfn.XLOOKUP(AK$3&amp;$A118,[3]Calcs!$Q$2:$Q$2281,[3]Calcs!$H$2:$H$2281,"")</f>
        <v>6.2495861053466797</v>
      </c>
      <c r="AL118" s="127">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27">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27">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27">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27">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8">
        <f>_xlfn.XLOOKUP(AK$3&amp;$A119,[3]Calcs!$Q$2:$Q$2281,[3]Calcs!$H$2:$H$2281,"")</f>
        <v>5.2799868583679199</v>
      </c>
      <c r="AL119" s="127">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27">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27">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27">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27">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8" t="str">
        <f>_xlfn.XLOOKUP(AK$3&amp;$A120,[3]Calcs!$Q$2:$Q$2281,[3]Calcs!$H$2:$H$2281,"")</f>
        <v/>
      </c>
      <c r="AL120" s="127">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27">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27">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27">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9"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27">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8" t="str">
        <f>_xlfn.XLOOKUP(AK$3&amp;$A121,[3]Calcs!$Q$2:$Q$2281,[3]Calcs!$H$2:$H$2281,"")</f>
        <v/>
      </c>
      <c r="AL121" s="127">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27">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27">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27"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9"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27">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8">
        <f>_xlfn.XLOOKUP(AK$3&amp;$A122,[3]Calcs!$Q$2:$Q$2281,[3]Calcs!$H$2:$H$2281,"")</f>
        <v>5.1684098243713379</v>
      </c>
      <c r="AL122" s="127">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27">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27">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27"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27">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8">
        <f>_xlfn.XLOOKUP(AK$3&amp;$A123,[3]Calcs!$Q$2:$Q$2281,[3]Calcs!$H$2:$H$2281,"")</f>
        <v>4.2252812385559082</v>
      </c>
      <c r="AL123" s="127">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27">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27">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27">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27">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8">
        <f>_xlfn.XLOOKUP(AK$3&amp;$A124,[3]Calcs!$Q$2:$Q$2281,[3]Calcs!$H$2:$H$2281,"")</f>
        <v>6.4525637626647949</v>
      </c>
      <c r="AL124" s="127">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27">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27">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27">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27">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8">
        <f>_xlfn.XLOOKUP(AK$3&amp;$A125,[3]Calcs!$Q$2:$Q$2281,[3]Calcs!$H$2:$H$2281,"")</f>
        <v>5.8845443725585938</v>
      </c>
      <c r="AL125" s="127">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27">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27">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27">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27">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8">
        <f>_xlfn.XLOOKUP(AK$3&amp;$A126,[3]Calcs!$Q$2:$Q$2281,[3]Calcs!$H$2:$H$2281,"")</f>
        <v>4.4510102272033691</v>
      </c>
      <c r="AL126" s="127">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27">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27">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30" cm="1">
        <f t="array" ref="ED126">TREND($EE126:$EQ126,$EE$3:$EQ$3,ED$3)</f>
        <v>1.0030149600969356</v>
      </c>
      <c r="EE126" s="6">
        <f>IFERROR(F126/VLOOKUP($C126,$C$159:$S$166,F$3-2003,0),"")</f>
        <v>0.99884532207203092</v>
      </c>
      <c r="EF126" s="129">
        <f>EE126+(EL126-EE126)/7</f>
        <v>0.99385490461617798</v>
      </c>
      <c r="EG126" s="129">
        <f>EE126+(EL126-EE126)*2/7</f>
        <v>0.98886448716032505</v>
      </c>
      <c r="EH126" s="129">
        <f>EE126+(EL126-EE126)*3/7</f>
        <v>0.98387406970447211</v>
      </c>
      <c r="EI126" s="129">
        <f>EE126+(EL126-EE126)*4/7</f>
        <v>0.97888365224861917</v>
      </c>
      <c r="EJ126" s="129">
        <f>EE126+(EL126-EE126)*5/7</f>
        <v>0.97389323479276624</v>
      </c>
      <c r="EK126" s="129">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9"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27">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8" t="str">
        <f>_xlfn.XLOOKUP(AK$3&amp;$A127,[3]Calcs!$Q$2:$Q$2281,[3]Calcs!$H$2:$H$2281,"")</f>
        <v/>
      </c>
      <c r="AL127" s="127">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27">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27">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30">
        <f t="shared" ref="ED127:EJ127" si="77">AVERAGE($EL127:$EM127,$EQ127)</f>
        <v>0.82123766712871438</v>
      </c>
      <c r="EE127" s="129">
        <f t="shared" si="77"/>
        <v>0.82123766712871438</v>
      </c>
      <c r="EF127" s="129">
        <f t="shared" si="77"/>
        <v>0.82123766712871438</v>
      </c>
      <c r="EG127" s="129">
        <f t="shared" si="77"/>
        <v>0.82123766712871438</v>
      </c>
      <c r="EH127" s="129">
        <f t="shared" si="77"/>
        <v>0.82123766712871438</v>
      </c>
      <c r="EI127" s="129">
        <f t="shared" si="77"/>
        <v>0.82123766712871438</v>
      </c>
      <c r="EJ127" s="129">
        <f t="shared" si="77"/>
        <v>0.82123766712871438</v>
      </c>
      <c r="EK127" s="6">
        <f t="shared" ref="EK127:ER147" si="78">IFERROR(L127/VLOOKUP($C127,$C$159:$S$166,L$3-2003,0),"")</f>
        <v>0.81137741817753817</v>
      </c>
      <c r="EL127" s="6">
        <f t="shared" si="78"/>
        <v>0.74990096983816446</v>
      </c>
      <c r="EM127" s="6">
        <f t="shared" si="78"/>
        <v>0.77942522111510482</v>
      </c>
      <c r="EN127" s="129">
        <f>EM127+(EQ127-EM127)/4</f>
        <v>0.81816561844454694</v>
      </c>
      <c r="EO127" s="129">
        <f>EM127+(EQ127-EM127)*2/4</f>
        <v>0.85690601577398917</v>
      </c>
      <c r="EP127" s="129">
        <f>EM127+(EQ127-EM127)*3/4</f>
        <v>0.8956464131034314</v>
      </c>
      <c r="EQ127" s="6">
        <f t="shared" si="67"/>
        <v>0.93438681043287353</v>
      </c>
      <c r="ER127" s="129"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27">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8" t="str">
        <f>_xlfn.XLOOKUP(AK$3&amp;$A128,[3]Calcs!$Q$2:$Q$2281,[3]Calcs!$H$2:$H$2281,"")</f>
        <v/>
      </c>
      <c r="AL128" s="127">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27">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27">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27">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9"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27">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8">
        <f>_xlfn.XLOOKUP(AK$3&amp;$A129,[3]Calcs!$Q$2:$Q$2281,[3]Calcs!$H$2:$H$2281,"")</f>
        <v>4.3769850730895996</v>
      </c>
      <c r="AL129" s="127">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27">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27">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27">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9"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27">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8">
        <f>_xlfn.XLOOKUP(AK$3&amp;$A130,[3]Calcs!$Q$2:$Q$2281,[3]Calcs!$H$2:$H$2281,"")</f>
        <v>5.3194832801818848</v>
      </c>
      <c r="AL130" s="127">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27">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27">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27">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27">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8" t="str">
        <f>_xlfn.XLOOKUP(AK$3&amp;$A131,[3]Calcs!$Q$2:$Q$2281,[3]Calcs!$H$2:$H$2281,"")</f>
        <v/>
      </c>
      <c r="AL131" s="127">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27">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27">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27">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9"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27">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8" t="str">
        <f>_xlfn.XLOOKUP(AK$3&amp;$A132,[3]Calcs!$Q$2:$Q$2281,[3]Calcs!$H$2:$H$2281,"")</f>
        <v/>
      </c>
      <c r="AL132" s="127">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27">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27">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30" cm="1">
        <f t="array" ref="ED132">TREND($EG132:$EQ132,$EG$3:$EQ$3,ED$3)</f>
        <v>1.0210048825896649</v>
      </c>
      <c r="EE132" s="129" cm="1">
        <f t="array" ref="EE132">TREND($EG132:$EQ132,$EG$3:$EQ$3,EE$3)</f>
        <v>0.9984685129093549</v>
      </c>
      <c r="EF132" s="129"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9"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27">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8" t="str">
        <f>_xlfn.XLOOKUP(AK$3&amp;$A133,[3]Calcs!$Q$2:$Q$2281,[3]Calcs!$H$2:$H$2281,"")</f>
        <v/>
      </c>
      <c r="AL133" s="127">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27">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27">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27">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9"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27">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8">
        <f>_xlfn.XLOOKUP(AK$3&amp;$A134,[3]Calcs!$Q$2:$Q$2281,[3]Calcs!$H$2:$H$2281,"")</f>
        <v>4.4313640594482422</v>
      </c>
      <c r="AL134" s="127">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27">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27">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30" cm="1">
        <f t="array" ref="ED134">TREND($EJ134:$EQ134,$EJ$3:$EQ$3,ED$3)</f>
        <v>0.91148362280827122</v>
      </c>
      <c r="EE134" s="129" cm="1">
        <f t="array" ref="EE134">TREND($EJ134:$EQ134,$EJ$3:$EQ$3,EE$3)</f>
        <v>0.9100924487684412</v>
      </c>
      <c r="EF134" s="129" cm="1">
        <f t="array" ref="EF134">TREND($EJ134:$EQ134,$EJ$3:$EQ$3,EF$3)</f>
        <v>0.90870127472861117</v>
      </c>
      <c r="EG134" s="129" cm="1">
        <f t="array" ref="EG134">TREND($EJ134:$EQ134,$EJ$3:$EQ$3,EG$3)</f>
        <v>0.90731010068878115</v>
      </c>
      <c r="EH134" s="129" cm="1">
        <f t="array" ref="EH134">TREND($EJ134:$EQ134,$EJ$3:$EQ$3,EH$3)</f>
        <v>0.90591892664895157</v>
      </c>
      <c r="EI134" s="129"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27">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8" t="str">
        <f>_xlfn.XLOOKUP(AK$3&amp;$A135,[3]Calcs!$Q$2:$Q$2281,[3]Calcs!$H$2:$H$2281,"")</f>
        <v/>
      </c>
      <c r="AL135" s="127">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27">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27">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30" cm="1">
        <f t="array" ref="ED135">TREND($EI135:$EQ135,$EI$3:$EQ$3,ED$3)</f>
        <v>0.71952779190768013</v>
      </c>
      <c r="EE135" s="129" cm="1">
        <f t="array" ref="EE135">TREND($EI135:$EQ135,$EI$3:$EQ$3,EE$3)</f>
        <v>0.73932679728012118</v>
      </c>
      <c r="EF135" s="129" cm="1">
        <f t="array" ref="EF135">TREND($EI135:$EQ135,$EI$3:$EQ$3,EF$3)</f>
        <v>0.75912580265255514</v>
      </c>
      <c r="EG135" s="129" cm="1">
        <f t="array" ref="EG135">TREND($EI135:$EQ135,$EI$3:$EQ$3,EG$3)</f>
        <v>0.77892480802498909</v>
      </c>
      <c r="EH135" s="129"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9"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27">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8">
        <f>_xlfn.XLOOKUP(AK$3&amp;$A136,[3]Calcs!$Q$2:$Q$2281,[3]Calcs!$H$2:$H$2281,"")</f>
        <v>5.7221627235412598</v>
      </c>
      <c r="AL136" s="127">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27">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27">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30"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27">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8">
        <f>_xlfn.XLOOKUP(AK$3&amp;$A137,[3]Calcs!$Q$2:$Q$2281,[3]Calcs!$H$2:$H$2281,"")</f>
        <v>6.168269157409668</v>
      </c>
      <c r="AL137" s="127">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27">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27">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27">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27">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8">
        <f>_xlfn.XLOOKUP(AK$3&amp;$A138,[3]Calcs!$Q$2:$Q$2281,[3]Calcs!$H$2:$H$2281,"")</f>
        <v>5.5592589378356934</v>
      </c>
      <c r="AL138" s="127">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27">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27">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27"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27">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8" t="str">
        <f>_xlfn.XLOOKUP(AK$3&amp;$A139,[3]Calcs!$Q$2:$Q$2281,[3]Calcs!$H$2:$H$2281,"")</f>
        <v/>
      </c>
      <c r="AL139" s="127">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27">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27">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27" t="str">
        <f>IFERROR(E139/VLOOKUP($C139,$C$159:$S$166,E$3-2003,0),"")</f>
        <v/>
      </c>
      <c r="EE139" s="129" cm="1">
        <f t="array" ref="EE139">TREND($EH139:$EQ139,$EH$3:$EQ$3,EE$3)</f>
        <v>1.2377736674671489</v>
      </c>
      <c r="EF139" s="129" cm="1">
        <f t="array" ref="EF139">TREND($EH139:$EQ139,$EH$3:$EQ$3,EF$3)</f>
        <v>1.2276722377108946</v>
      </c>
      <c r="EG139" s="129"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9"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27">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8" t="str">
        <f>_xlfn.XLOOKUP(AK$3&amp;$A140,[3]Calcs!$Q$2:$Q$2281,[3]Calcs!$H$2:$H$2281,"")</f>
        <v/>
      </c>
      <c r="AL140" s="127">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27">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27">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30"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9"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27">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8">
        <f>_xlfn.XLOOKUP(AK$3&amp;$A141,[3]Calcs!$Q$2:$Q$2281,[3]Calcs!$H$2:$H$2281,"")</f>
        <v>4.8615541458129883</v>
      </c>
      <c r="AL141" s="127">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27">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27">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27"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27">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8">
        <f>_xlfn.XLOOKUP(AK$3&amp;$A142,[3]Calcs!$Q$2:$Q$2281,[3]Calcs!$H$2:$H$2281,"")</f>
        <v>5.5158162117004395</v>
      </c>
      <c r="AL142" s="127">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27">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27">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30"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27">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8">
        <f>_xlfn.XLOOKUP(AK$3&amp;$A143,[3]Calcs!$Q$2:$Q$2281,[3]Calcs!$H$2:$H$2281,"")</f>
        <v>5.2565035820007324</v>
      </c>
      <c r="AL143" s="127">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27">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27">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30" cm="1">
        <f t="array" ref="ED143">TREND($EG143:$EQ143,$EG$3:$EQ$3,ED$3)</f>
        <v>0.8099282223098605</v>
      </c>
      <c r="EE143" s="129" cm="1">
        <f t="array" ref="EE143">TREND($EG143:$EQ143,$EG$3:$EQ$3,EE$3)</f>
        <v>0.82300606322474934</v>
      </c>
      <c r="EF143" s="129"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27">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8">
        <f>_xlfn.XLOOKUP(AK$3&amp;$A144,[3]Calcs!$Q$2:$Q$2281,[3]Calcs!$H$2:$H$2281,"")</f>
        <v>4.7851653099060059</v>
      </c>
      <c r="AL144" s="127">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27">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27">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27" t="str">
        <f>IFERROR(E144/VLOOKUP($C144,$C$159:$S$166,E$3-2003,0),"")</f>
        <v/>
      </c>
      <c r="EE144" s="129"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27">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8">
        <f>_xlfn.XLOOKUP(AK$3&amp;$A145,[3]Calcs!$Q$2:$Q$2281,[3]Calcs!$H$2:$H$2281,"")</f>
        <v>5.7926955223083496</v>
      </c>
      <c r="AL145" s="127">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27">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27">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27">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27">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8">
        <f>_xlfn.XLOOKUP(AK$3&amp;$A146,[3]Calcs!$Q$2:$Q$2281,[3]Calcs!$H$2:$H$2281,"")</f>
        <v>6.1506428718566895</v>
      </c>
      <c r="AL146" s="127">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27">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27">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27"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27">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8">
        <f>_xlfn.XLOOKUP(AK$3&amp;$A147,[3]Calcs!$Q$2:$Q$2281,[3]Calcs!$H$2:$H$2281,"")</f>
        <v>6.5595884323120117</v>
      </c>
      <c r="AL147" s="127">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27">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27">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27"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27">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8">
        <f>_xlfn.XLOOKUP(AK$3&amp;$A148,[3]Calcs!$Q$2:$Q$2281,[3]Calcs!$H$2:$H$2281,"")</f>
        <v>6.7510676383972168</v>
      </c>
      <c r="AL148" s="127">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27">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27">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30">
        <f t="shared" ref="ED148:EN148" si="98">AVERAGE($EO148:$EQ148)</f>
        <v>0.97406801897825301</v>
      </c>
      <c r="EE148" s="129">
        <f t="shared" si="98"/>
        <v>0.97406801897825301</v>
      </c>
      <c r="EF148" s="129">
        <f t="shared" si="98"/>
        <v>0.97406801897825301</v>
      </c>
      <c r="EG148" s="129">
        <f t="shared" si="98"/>
        <v>0.97406801897825301</v>
      </c>
      <c r="EH148" s="129">
        <f t="shared" si="98"/>
        <v>0.97406801897825301</v>
      </c>
      <c r="EI148" s="129">
        <f t="shared" si="98"/>
        <v>0.97406801897825301</v>
      </c>
      <c r="EJ148" s="129">
        <f t="shared" si="98"/>
        <v>0.97406801897825301</v>
      </c>
      <c r="EK148" s="129">
        <f t="shared" si="98"/>
        <v>0.97406801897825301</v>
      </c>
      <c r="EL148" s="129">
        <f t="shared" si="98"/>
        <v>0.97406801897825301</v>
      </c>
      <c r="EM148" s="129">
        <f t="shared" si="98"/>
        <v>0.97406801897825301</v>
      </c>
      <c r="EN148" s="129">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27">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8">
        <f>_xlfn.XLOOKUP(AK$3&amp;$A149,[3]Calcs!$Q$2:$Q$2281,[3]Calcs!$H$2:$H$2281,"")</f>
        <v>5.123143196105957</v>
      </c>
      <c r="AL149" s="127">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27">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27">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27">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27">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8">
        <f>_xlfn.XLOOKUP(AK$3&amp;$A150,[3]Calcs!$Q$2:$Q$2281,[3]Calcs!$H$2:$H$2281,"")</f>
        <v>5.7710647583007813</v>
      </c>
      <c r="AL150" s="127">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27">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27">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27">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27">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8">
        <f>_xlfn.XLOOKUP(AK$3&amp;$A151,[3]Calcs!$Q$2:$Q$2281,[3]Calcs!$H$2:$H$2281,"")</f>
        <v>5.284390926361084</v>
      </c>
      <c r="AL151" s="127">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27">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27">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27">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9">
        <f>EJ151+(EO151-EJ151)/5</f>
        <v>0.97868970613512396</v>
      </c>
      <c r="EL151" s="129">
        <f>EJ151+(EO151-EJ151)*2/5</f>
        <v>0.96435805457196477</v>
      </c>
      <c r="EM151" s="129">
        <f>EJ151+(EO151-EJ151)*3/5</f>
        <v>0.95002640300880548</v>
      </c>
      <c r="EN151" s="129">
        <f>EJ151+(EO151-EJ151)*4/5</f>
        <v>0.93569475144564629</v>
      </c>
      <c r="EO151" s="6">
        <f t="shared" si="99"/>
        <v>0.92136309988248699</v>
      </c>
      <c r="EP151" s="6">
        <f t="shared" si="99"/>
        <v>0.91958807197394266</v>
      </c>
      <c r="EQ151" s="6">
        <f t="shared" si="99"/>
        <v>0.96524200008872718</v>
      </c>
      <c r="ER151" s="129"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27">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8" t="str">
        <f>_xlfn.XLOOKUP(AK$3&amp;$A152,[3]Calcs!$Q$2:$Q$2281,[3]Calcs!$H$2:$H$2281,"")</f>
        <v/>
      </c>
      <c r="AL152" s="127">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27">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27">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27">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9"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27">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8">
        <f>_xlfn.XLOOKUP(AK$3&amp;$A153,[3]Calcs!$Q$2:$Q$2281,[3]Calcs!$H$2:$H$2281,"")</f>
        <v>6.3913788795471191</v>
      </c>
      <c r="AL153" s="127">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27">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27">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27">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27">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8">
        <f>_xlfn.XLOOKUP(AK$3&amp;$A154,[3]Calcs!$Q$2:$Q$2281,[3]Calcs!$H$2:$H$2281,"")</f>
        <v>6.229008674621582</v>
      </c>
      <c r="AL154" s="127">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27">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27">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27">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27">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8">
        <f>_xlfn.XLOOKUP(AK$3&amp;$A155,[3]Calcs!$Q$2:$Q$2281,[3]Calcs!$H$2:$H$2281,"")</f>
        <v>6.0113649368286133</v>
      </c>
      <c r="AL155" s="127">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27">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27">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30"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9"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9" t="s">
        <v>412</v>
      </c>
    </row>
    <row r="169" spans="2:163">
      <c r="B169" s="1" t="s">
        <v>159</v>
      </c>
      <c r="C169" s="15">
        <v>1</v>
      </c>
      <c r="CK169" s="131">
        <f t="shared" ref="CK169:CY176" si="107">CK159/DO159</f>
        <v>0.45148083088423735</v>
      </c>
      <c r="CL169" s="132">
        <f t="shared" si="107"/>
        <v>0.98894916142728573</v>
      </c>
      <c r="CM169" s="132">
        <f t="shared" si="107"/>
        <v>0.98904290117919225</v>
      </c>
      <c r="CN169" s="132">
        <f t="shared" si="107"/>
        <v>0.98679506455501964</v>
      </c>
      <c r="CO169" s="132">
        <f t="shared" si="107"/>
        <v>0.98689367535491612</v>
      </c>
      <c r="CP169" s="132">
        <f t="shared" si="107"/>
        <v>0.99417842890772523</v>
      </c>
      <c r="CQ169" s="132">
        <f t="shared" si="107"/>
        <v>0.9942266580254413</v>
      </c>
      <c r="CR169" s="132">
        <f t="shared" si="107"/>
        <v>0.99427259332450579</v>
      </c>
      <c r="CS169" s="132">
        <f t="shared" si="107"/>
        <v>0.99203868362076097</v>
      </c>
      <c r="CT169" s="132">
        <f t="shared" si="107"/>
        <v>0.99209005575096165</v>
      </c>
      <c r="CU169" s="132">
        <f t="shared" si="107"/>
        <v>0.99213948016724596</v>
      </c>
      <c r="CV169" s="132">
        <f t="shared" si="107"/>
        <v>1</v>
      </c>
      <c r="CW169" s="132">
        <f t="shared" si="107"/>
        <v>0.9977694867336756</v>
      </c>
      <c r="CX169" s="132">
        <f t="shared" si="107"/>
        <v>1</v>
      </c>
      <c r="CY169" s="132">
        <f t="shared" si="107"/>
        <v>0.84295088678380614</v>
      </c>
    </row>
    <row r="170" spans="2:163">
      <c r="B170" s="1" t="s">
        <v>165</v>
      </c>
      <c r="C170" s="15">
        <v>2</v>
      </c>
      <c r="CK170" s="131">
        <f t="shared" si="107"/>
        <v>0.85001606542233643</v>
      </c>
      <c r="CL170" s="132">
        <f t="shared" si="107"/>
        <v>0.99938852308165849</v>
      </c>
      <c r="CM170" s="132">
        <f t="shared" si="107"/>
        <v>0.99938040936984385</v>
      </c>
      <c r="CN170" s="132">
        <f t="shared" si="107"/>
        <v>0.9993715329208559</v>
      </c>
      <c r="CO170" s="132">
        <f t="shared" si="107"/>
        <v>0.99936144030796625</v>
      </c>
      <c r="CP170" s="132">
        <f t="shared" si="107"/>
        <v>0.99935000442419042</v>
      </c>
      <c r="CQ170" s="132">
        <f t="shared" si="107"/>
        <v>0.99933745868168433</v>
      </c>
      <c r="CR170" s="132">
        <f t="shared" si="107"/>
        <v>0.99932415418437481</v>
      </c>
      <c r="CS170" s="132">
        <f t="shared" si="107"/>
        <v>0.9993105754468069</v>
      </c>
      <c r="CT170" s="132">
        <f t="shared" si="107"/>
        <v>0.99929709168027248</v>
      </c>
      <c r="CU170" s="132">
        <f t="shared" si="107"/>
        <v>0.99928377110675481</v>
      </c>
      <c r="CV170" s="132">
        <f t="shared" si="107"/>
        <v>1</v>
      </c>
      <c r="CW170" s="132">
        <f t="shared" si="107"/>
        <v>1</v>
      </c>
      <c r="CX170" s="132">
        <f t="shared" si="107"/>
        <v>1</v>
      </c>
      <c r="CY170" s="132">
        <f t="shared" si="107"/>
        <v>0.99923092152292681</v>
      </c>
    </row>
    <row r="171" spans="2:163">
      <c r="B171" s="1" t="s">
        <v>160</v>
      </c>
      <c r="C171" s="15">
        <v>3</v>
      </c>
      <c r="CK171" s="131">
        <f t="shared" si="107"/>
        <v>0.25592688247249756</v>
      </c>
      <c r="CL171" s="132">
        <f t="shared" si="107"/>
        <v>0.97844384622309255</v>
      </c>
      <c r="CM171" s="132">
        <f t="shared" si="107"/>
        <v>0.97830206824670818</v>
      </c>
      <c r="CN171" s="132">
        <f t="shared" si="107"/>
        <v>0.99922709758873751</v>
      </c>
      <c r="CO171" s="132">
        <f t="shared" si="107"/>
        <v>0.98021427925037652</v>
      </c>
      <c r="CP171" s="132">
        <f t="shared" si="107"/>
        <v>0.98005455755751314</v>
      </c>
      <c r="CQ171" s="132">
        <f t="shared" si="107"/>
        <v>0.99921400097138013</v>
      </c>
      <c r="CR171" s="132">
        <f t="shared" si="107"/>
        <v>0.9992132020953447</v>
      </c>
      <c r="CS171" s="132">
        <f t="shared" si="107"/>
        <v>0.99921269232024623</v>
      </c>
      <c r="CT171" s="132">
        <f t="shared" si="107"/>
        <v>0.9992115807821671</v>
      </c>
      <c r="CU171" s="132">
        <f t="shared" si="107"/>
        <v>0.99920972183283308</v>
      </c>
      <c r="CV171" s="132">
        <f t="shared" si="107"/>
        <v>1</v>
      </c>
      <c r="CW171" s="132">
        <f t="shared" si="107"/>
        <v>1</v>
      </c>
      <c r="CX171" s="132">
        <f t="shared" si="107"/>
        <v>1</v>
      </c>
      <c r="CY171" s="132">
        <f t="shared" si="107"/>
        <v>0.99852909736829276</v>
      </c>
    </row>
    <row r="172" spans="2:163">
      <c r="B172" s="1" t="s">
        <v>161</v>
      </c>
      <c r="C172" s="15">
        <v>4</v>
      </c>
      <c r="CK172" s="131">
        <f t="shared" si="107"/>
        <v>5.6927059903135305E-2</v>
      </c>
      <c r="CL172" s="132">
        <f t="shared" si="107"/>
        <v>0.70456003622593522</v>
      </c>
      <c r="CM172" s="132">
        <f t="shared" si="107"/>
        <v>0.77131267627969602</v>
      </c>
      <c r="CN172" s="132">
        <f t="shared" si="107"/>
        <v>0.82683517407155827</v>
      </c>
      <c r="CO172" s="132">
        <f t="shared" si="107"/>
        <v>0.98567273649825071</v>
      </c>
      <c r="CP172" s="132">
        <f t="shared" si="107"/>
        <v>0.98585819898602223</v>
      </c>
      <c r="CQ172" s="132">
        <f t="shared" si="107"/>
        <v>1</v>
      </c>
      <c r="CR172" s="132">
        <f t="shared" si="107"/>
        <v>1</v>
      </c>
      <c r="CS172" s="132">
        <f t="shared" si="107"/>
        <v>1</v>
      </c>
      <c r="CT172" s="132">
        <f t="shared" si="107"/>
        <v>1</v>
      </c>
      <c r="CU172" s="132">
        <f t="shared" si="107"/>
        <v>0.99458230508181544</v>
      </c>
      <c r="CV172" s="132">
        <f t="shared" si="107"/>
        <v>0.99454033326752311</v>
      </c>
      <c r="CW172" s="132">
        <f t="shared" si="107"/>
        <v>0.99452304945261938</v>
      </c>
      <c r="CX172" s="132">
        <f t="shared" si="107"/>
        <v>1</v>
      </c>
      <c r="CY172" s="132">
        <f t="shared" si="107"/>
        <v>0.8100572139971437</v>
      </c>
    </row>
    <row r="173" spans="2:163">
      <c r="B173" s="1" t="s">
        <v>162</v>
      </c>
      <c r="C173" s="15">
        <v>5</v>
      </c>
      <c r="CK173" s="131">
        <f t="shared" si="107"/>
        <v>0.69320948850539688</v>
      </c>
      <c r="CL173" s="132">
        <f t="shared" si="107"/>
        <v>0.71010322787693114</v>
      </c>
      <c r="CM173" s="132">
        <f t="shared" si="107"/>
        <v>0.72297326740673062</v>
      </c>
      <c r="CN173" s="132">
        <f t="shared" si="107"/>
        <v>0.8197434056431171</v>
      </c>
      <c r="CO173" s="132">
        <f t="shared" si="107"/>
        <v>0.82001919258168621</v>
      </c>
      <c r="CP173" s="132">
        <f t="shared" si="107"/>
        <v>0.88989158559449411</v>
      </c>
      <c r="CQ173" s="132">
        <f t="shared" si="107"/>
        <v>0.980841830879848</v>
      </c>
      <c r="CR173" s="132">
        <f t="shared" si="107"/>
        <v>0.9802302218759994</v>
      </c>
      <c r="CS173" s="132">
        <f t="shared" si="107"/>
        <v>0.99080164534084469</v>
      </c>
      <c r="CT173" s="132">
        <f t="shared" si="107"/>
        <v>0.94931331374358974</v>
      </c>
      <c r="CU173" s="132">
        <f t="shared" si="107"/>
        <v>0.95647207093439912</v>
      </c>
      <c r="CV173" s="132">
        <f t="shared" si="107"/>
        <v>0.95660957046890038</v>
      </c>
      <c r="CW173" s="132">
        <f t="shared" si="107"/>
        <v>0.87098122821135393</v>
      </c>
      <c r="CX173" s="132">
        <f t="shared" si="107"/>
        <v>1</v>
      </c>
      <c r="CY173" s="132">
        <f t="shared" si="107"/>
        <v>0.58594713442709612</v>
      </c>
    </row>
    <row r="174" spans="2:163">
      <c r="B174" s="1" t="s">
        <v>163</v>
      </c>
      <c r="C174" s="15">
        <v>6</v>
      </c>
      <c r="CK174" s="131">
        <f t="shared" si="107"/>
        <v>0.87616460260080187</v>
      </c>
      <c r="CL174" s="132">
        <f t="shared" si="107"/>
        <v>0.98228871486381919</v>
      </c>
      <c r="CM174" s="132">
        <f t="shared" si="107"/>
        <v>0.99957804563068609</v>
      </c>
      <c r="CN174" s="132">
        <f t="shared" si="107"/>
        <v>0.99958004881844187</v>
      </c>
      <c r="CO174" s="132">
        <f t="shared" si="107"/>
        <v>0.99958160972836929</v>
      </c>
      <c r="CP174" s="132">
        <f t="shared" si="107"/>
        <v>0.9995826407578503</v>
      </c>
      <c r="CQ174" s="132">
        <f t="shared" si="107"/>
        <v>0.99958324770069618</v>
      </c>
      <c r="CR174" s="132">
        <f t="shared" si="107"/>
        <v>1</v>
      </c>
      <c r="CS174" s="132">
        <f t="shared" si="107"/>
        <v>1</v>
      </c>
      <c r="CT174" s="132">
        <f t="shared" si="107"/>
        <v>1</v>
      </c>
      <c r="CU174" s="132">
        <f t="shared" si="107"/>
        <v>0.99958390653689988</v>
      </c>
      <c r="CV174" s="132">
        <f t="shared" si="107"/>
        <v>0.99958396565442831</v>
      </c>
      <c r="CW174" s="132">
        <f t="shared" si="107"/>
        <v>0.99958401058660284</v>
      </c>
      <c r="CX174" s="132">
        <f t="shared" si="107"/>
        <v>1</v>
      </c>
      <c r="CY174" s="132">
        <f t="shared" si="107"/>
        <v>0.83234384743165701</v>
      </c>
    </row>
    <row r="175" spans="2:163">
      <c r="B175" s="1" t="s">
        <v>166</v>
      </c>
      <c r="C175" s="15">
        <v>7</v>
      </c>
      <c r="CK175" s="131">
        <f t="shared" si="107"/>
        <v>0.72159807104383189</v>
      </c>
      <c r="CL175" s="132">
        <f t="shared" si="107"/>
        <v>0.98793307773000483</v>
      </c>
      <c r="CM175" s="132">
        <f t="shared" si="107"/>
        <v>0.98777875284445371</v>
      </c>
      <c r="CN175" s="132">
        <f t="shared" si="107"/>
        <v>1</v>
      </c>
      <c r="CO175" s="132">
        <f t="shared" si="107"/>
        <v>1</v>
      </c>
      <c r="CP175" s="132">
        <f t="shared" si="107"/>
        <v>1</v>
      </c>
      <c r="CQ175" s="132">
        <f t="shared" si="107"/>
        <v>1</v>
      </c>
      <c r="CR175" s="132">
        <f t="shared" si="107"/>
        <v>1</v>
      </c>
      <c r="CS175" s="132">
        <f t="shared" si="107"/>
        <v>1</v>
      </c>
      <c r="CT175" s="132">
        <f t="shared" si="107"/>
        <v>1</v>
      </c>
      <c r="CU175" s="132">
        <f t="shared" si="107"/>
        <v>1</v>
      </c>
      <c r="CV175" s="132">
        <f t="shared" si="107"/>
        <v>1</v>
      </c>
      <c r="CW175" s="132">
        <f t="shared" si="107"/>
        <v>1</v>
      </c>
      <c r="CX175" s="132">
        <f t="shared" si="107"/>
        <v>1</v>
      </c>
      <c r="CY175" s="132">
        <f t="shared" si="107"/>
        <v>0.80372860513040212</v>
      </c>
    </row>
    <row r="176" spans="2:163">
      <c r="B176" s="1" t="s">
        <v>164</v>
      </c>
      <c r="C176" s="15">
        <v>8</v>
      </c>
      <c r="CK176" s="131">
        <f t="shared" si="107"/>
        <v>0.90074131365502197</v>
      </c>
      <c r="CL176" s="132">
        <f t="shared" si="107"/>
        <v>0.96272498625972858</v>
      </c>
      <c r="CM176" s="132">
        <f t="shared" si="107"/>
        <v>0.96278021121589408</v>
      </c>
      <c r="CN176" s="132">
        <f t="shared" si="107"/>
        <v>0.96283290633305574</v>
      </c>
      <c r="CO176" s="132">
        <f t="shared" si="107"/>
        <v>0.96287545236417393</v>
      </c>
      <c r="CP176" s="132">
        <f t="shared" si="107"/>
        <v>0.96290408230011482</v>
      </c>
      <c r="CQ176" s="132">
        <f t="shared" si="107"/>
        <v>0.98622403339554388</v>
      </c>
      <c r="CR176" s="132">
        <f t="shared" si="107"/>
        <v>0.98332397390457471</v>
      </c>
      <c r="CS176" s="132">
        <f t="shared" si="107"/>
        <v>0.98334222820591033</v>
      </c>
      <c r="CT176" s="132">
        <f t="shared" si="107"/>
        <v>0.98335564579032453</v>
      </c>
      <c r="CU176" s="132">
        <f t="shared" si="107"/>
        <v>0.9833633815043209</v>
      </c>
      <c r="CV176" s="132">
        <f t="shared" si="107"/>
        <v>1</v>
      </c>
      <c r="CW176" s="132">
        <f t="shared" si="107"/>
        <v>1</v>
      </c>
      <c r="CX176" s="132">
        <f t="shared" si="107"/>
        <v>1</v>
      </c>
      <c r="CY176" s="132">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38" zoomScale="90" zoomScaleNormal="90" workbookViewId="0">
      <selection activeCell="B144" sqref="B144:B146"/>
    </sheetView>
  </sheetViews>
  <sheetFormatPr defaultColWidth="10.85546875" defaultRowHeight="15"/>
  <cols>
    <col min="1" max="1" width="10.85546875" style="133"/>
    <col min="2" max="2" width="29.28515625" style="135" customWidth="1"/>
    <col min="3" max="5" width="37" style="135" customWidth="1"/>
    <col min="6" max="6" width="10.85546875" style="135"/>
    <col min="7" max="7" width="29.28515625" style="135" customWidth="1"/>
    <col min="8" max="10" width="37" style="135" customWidth="1"/>
    <col min="11" max="16384" width="10.85546875" style="135"/>
  </cols>
  <sheetData>
    <row r="1" spans="1:10" s="133" customFormat="1" ht="26.25">
      <c r="B1" s="184" t="s">
        <v>458</v>
      </c>
      <c r="C1" s="157"/>
      <c r="D1" s="157"/>
      <c r="E1" s="157"/>
      <c r="G1" s="157"/>
      <c r="H1" s="157"/>
      <c r="I1" s="157"/>
      <c r="J1" s="157"/>
    </row>
    <row r="2" spans="1:10" s="133" customFormat="1">
      <c r="A2" s="136"/>
      <c r="B2" s="178"/>
      <c r="C2" s="179"/>
      <c r="D2" s="179"/>
      <c r="E2" s="180"/>
      <c r="F2" s="181"/>
      <c r="G2" s="157"/>
      <c r="H2" s="157"/>
      <c r="I2" s="157"/>
      <c r="J2" s="157"/>
    </row>
    <row r="3" spans="1:10" s="133" customFormat="1" ht="131.25">
      <c r="A3" s="136"/>
      <c r="B3" s="137" t="s">
        <v>415</v>
      </c>
      <c r="C3" s="138" t="s">
        <v>169</v>
      </c>
      <c r="D3" s="138" t="s">
        <v>416</v>
      </c>
      <c r="E3" s="138" t="s">
        <v>417</v>
      </c>
      <c r="F3" s="181"/>
      <c r="G3" s="157"/>
      <c r="H3" s="157"/>
      <c r="I3" s="157"/>
      <c r="J3" s="157"/>
    </row>
    <row r="4" spans="1:10" s="133" customFormat="1" ht="56.25">
      <c r="A4" s="136"/>
      <c r="B4" s="140" t="s">
        <v>372</v>
      </c>
      <c r="C4" s="141" t="s">
        <v>418</v>
      </c>
      <c r="D4" s="141" t="s">
        <v>419</v>
      </c>
      <c r="E4" s="140" t="s">
        <v>420</v>
      </c>
      <c r="F4" s="181"/>
      <c r="G4" s="157"/>
      <c r="H4" s="157"/>
      <c r="I4" s="157"/>
      <c r="J4" s="157"/>
    </row>
    <row r="5" spans="1:10" s="133" customFormat="1" ht="56.25">
      <c r="A5" s="136"/>
      <c r="B5" s="142" t="s">
        <v>462</v>
      </c>
      <c r="C5" s="143" t="s">
        <v>421</v>
      </c>
      <c r="D5" s="143" t="s">
        <v>422</v>
      </c>
      <c r="E5" s="142" t="s">
        <v>423</v>
      </c>
      <c r="F5" s="181"/>
      <c r="G5" s="157"/>
      <c r="H5" s="157"/>
      <c r="I5" s="157"/>
      <c r="J5" s="157"/>
    </row>
    <row r="6" spans="1:10" s="133" customFormat="1" ht="37.5">
      <c r="A6" s="136"/>
      <c r="B6" s="144" t="s">
        <v>373</v>
      </c>
      <c r="C6" s="145" t="s">
        <v>424</v>
      </c>
      <c r="D6" s="145" t="s">
        <v>425</v>
      </c>
      <c r="E6" s="144" t="s">
        <v>426</v>
      </c>
      <c r="F6" s="181"/>
      <c r="G6" s="157"/>
      <c r="H6" s="157"/>
      <c r="I6" s="157"/>
      <c r="J6" s="157"/>
    </row>
    <row r="7" spans="1:10" s="133" customFormat="1">
      <c r="A7" s="136"/>
      <c r="B7" s="178"/>
      <c r="C7" s="179"/>
      <c r="D7" s="179"/>
      <c r="E7" s="180"/>
      <c r="F7" s="181"/>
      <c r="G7" s="157"/>
      <c r="H7" s="157"/>
      <c r="I7" s="157"/>
      <c r="J7" s="157"/>
    </row>
    <row r="8" spans="1:10" s="133" customFormat="1" ht="26.25">
      <c r="A8" s="136"/>
      <c r="B8" s="184" t="s">
        <v>456</v>
      </c>
      <c r="C8" s="179"/>
      <c r="D8" s="179"/>
      <c r="E8" s="180"/>
      <c r="F8" s="181"/>
      <c r="G8" s="157"/>
      <c r="H8" s="157"/>
      <c r="I8" s="157"/>
      <c r="J8" s="157"/>
    </row>
    <row r="9" spans="1:10" s="133" customFormat="1" ht="15.75" thickBot="1">
      <c r="A9" s="136"/>
      <c r="B9" s="178"/>
      <c r="C9" s="179"/>
      <c r="D9" s="179"/>
      <c r="E9" s="180"/>
      <c r="F9" s="181"/>
      <c r="G9" s="157"/>
      <c r="H9" s="157"/>
      <c r="I9" s="157"/>
      <c r="J9" s="157"/>
    </row>
    <row r="10" spans="1:10" s="133" customFormat="1" ht="132" thickBot="1">
      <c r="A10" s="136"/>
      <c r="B10" s="147" t="s">
        <v>427</v>
      </c>
      <c r="C10" s="148" t="s">
        <v>428</v>
      </c>
      <c r="D10" s="149" t="s">
        <v>429</v>
      </c>
      <c r="E10" s="150" t="s">
        <v>430</v>
      </c>
      <c r="F10" s="181"/>
      <c r="G10" s="157"/>
      <c r="H10" s="157"/>
      <c r="I10" s="157"/>
      <c r="J10" s="157"/>
    </row>
    <row r="11" spans="1:10" s="133" customFormat="1" ht="41.1" customHeight="1">
      <c r="A11" s="136"/>
      <c r="B11" s="195" t="s">
        <v>463</v>
      </c>
      <c r="C11" s="151" t="s">
        <v>431</v>
      </c>
      <c r="D11" s="151" t="s">
        <v>432</v>
      </c>
      <c r="E11" s="152" t="s">
        <v>433</v>
      </c>
      <c r="F11" s="181"/>
      <c r="G11" s="157"/>
      <c r="H11" s="157"/>
      <c r="I11" s="157"/>
      <c r="J11" s="157"/>
    </row>
    <row r="12" spans="1:10" s="133" customFormat="1" ht="41.1" customHeight="1">
      <c r="A12" s="136"/>
      <c r="B12" s="196"/>
      <c r="C12" s="153" t="s">
        <v>434</v>
      </c>
      <c r="D12" s="153" t="s">
        <v>435</v>
      </c>
      <c r="E12" s="154" t="s">
        <v>436</v>
      </c>
      <c r="F12" s="181"/>
      <c r="G12" s="157"/>
      <c r="H12" s="157"/>
      <c r="I12" s="157"/>
      <c r="J12" s="157"/>
    </row>
    <row r="13" spans="1:10" s="133" customFormat="1" ht="41.1" customHeight="1" thickBot="1">
      <c r="A13" s="136"/>
      <c r="B13" s="197"/>
      <c r="C13" s="155" t="s">
        <v>437</v>
      </c>
      <c r="D13" s="155" t="s">
        <v>438</v>
      </c>
      <c r="E13" s="155" t="s">
        <v>439</v>
      </c>
      <c r="F13" s="181"/>
      <c r="G13" s="157"/>
      <c r="H13" s="157"/>
      <c r="I13" s="157"/>
      <c r="J13" s="157"/>
    </row>
    <row r="14" spans="1:10" s="133" customFormat="1" ht="41.1" customHeight="1">
      <c r="A14" s="136"/>
      <c r="B14" s="198" t="s">
        <v>464</v>
      </c>
      <c r="C14" s="151" t="s">
        <v>440</v>
      </c>
      <c r="D14" s="151" t="s">
        <v>441</v>
      </c>
      <c r="E14" s="152" t="s">
        <v>442</v>
      </c>
      <c r="F14" s="181"/>
      <c r="G14" s="157"/>
      <c r="H14" s="157"/>
      <c r="I14" s="157"/>
      <c r="J14" s="157"/>
    </row>
    <row r="15" spans="1:10" s="133" customFormat="1" ht="41.1" customHeight="1">
      <c r="A15" s="136"/>
      <c r="B15" s="199"/>
      <c r="C15" s="153" t="s">
        <v>443</v>
      </c>
      <c r="D15" s="153" t="s">
        <v>444</v>
      </c>
      <c r="E15" s="154" t="s">
        <v>445</v>
      </c>
      <c r="F15" s="181"/>
      <c r="G15" s="157"/>
      <c r="H15" s="157"/>
      <c r="I15" s="157"/>
      <c r="J15" s="157"/>
    </row>
    <row r="16" spans="1:10" s="133" customFormat="1" ht="41.1" customHeight="1" thickBot="1">
      <c r="A16" s="136"/>
      <c r="B16" s="199"/>
      <c r="C16" s="155" t="s">
        <v>446</v>
      </c>
      <c r="D16" s="155" t="s">
        <v>447</v>
      </c>
      <c r="E16" s="155" t="s">
        <v>448</v>
      </c>
      <c r="F16" s="181"/>
      <c r="G16" s="157"/>
      <c r="H16" s="157"/>
      <c r="I16" s="157"/>
      <c r="J16" s="157"/>
    </row>
    <row r="17" spans="1:10" s="133" customFormat="1" ht="41.1" customHeight="1">
      <c r="A17" s="136"/>
      <c r="B17" s="200" t="s">
        <v>465</v>
      </c>
      <c r="C17" s="151" t="s">
        <v>433</v>
      </c>
      <c r="D17" s="151" t="s">
        <v>449</v>
      </c>
      <c r="E17" s="152" t="s">
        <v>450</v>
      </c>
      <c r="F17" s="181"/>
      <c r="G17" s="157"/>
      <c r="H17" s="157"/>
      <c r="I17" s="157"/>
      <c r="J17" s="157"/>
    </row>
    <row r="18" spans="1:10" s="133" customFormat="1" ht="41.1" customHeight="1">
      <c r="A18" s="136"/>
      <c r="B18" s="201"/>
      <c r="C18" s="153" t="s">
        <v>436</v>
      </c>
      <c r="D18" s="153" t="s">
        <v>451</v>
      </c>
      <c r="E18" s="154" t="s">
        <v>452</v>
      </c>
      <c r="F18" s="181"/>
      <c r="G18" s="157"/>
      <c r="H18" s="157"/>
      <c r="I18" s="157"/>
      <c r="J18" s="157"/>
    </row>
    <row r="19" spans="1:10" s="133" customFormat="1" ht="41.1" customHeight="1" thickBot="1">
      <c r="A19" s="136"/>
      <c r="B19" s="202"/>
      <c r="C19" s="156" t="s">
        <v>439</v>
      </c>
      <c r="D19" s="155" t="s">
        <v>453</v>
      </c>
      <c r="E19" s="155" t="s">
        <v>454</v>
      </c>
      <c r="F19" s="181"/>
      <c r="G19" s="157"/>
      <c r="H19" s="157"/>
      <c r="I19" s="157"/>
      <c r="J19" s="157"/>
    </row>
    <row r="20" spans="1:10" s="133" customFormat="1">
      <c r="A20" s="136"/>
      <c r="B20" s="146"/>
      <c r="C20" s="146"/>
      <c r="D20" s="146"/>
      <c r="E20" s="146"/>
      <c r="F20" s="181"/>
      <c r="G20" s="157"/>
      <c r="H20" s="157"/>
      <c r="I20" s="157"/>
      <c r="J20" s="157"/>
    </row>
    <row r="21" spans="1:10" s="133" customFormat="1" ht="26.25">
      <c r="A21" s="182"/>
      <c r="B21" s="183" t="s">
        <v>457</v>
      </c>
      <c r="C21" s="134"/>
      <c r="D21" s="134"/>
      <c r="E21" s="134"/>
      <c r="F21" s="181"/>
      <c r="G21" s="157"/>
      <c r="H21" s="157"/>
      <c r="I21" s="157"/>
      <c r="J21" s="157"/>
    </row>
    <row r="22" spans="1:10" s="133" customFormat="1">
      <c r="A22" s="136"/>
      <c r="B22" s="178"/>
      <c r="C22" s="179"/>
      <c r="D22" s="179"/>
      <c r="E22" s="180"/>
      <c r="F22" s="181"/>
      <c r="G22" s="157"/>
      <c r="H22" s="157"/>
      <c r="I22" s="157"/>
      <c r="J22" s="157"/>
    </row>
    <row r="23" spans="1:10" ht="161.1" customHeight="1">
      <c r="A23" s="136"/>
      <c r="B23" s="158" t="s">
        <v>427</v>
      </c>
      <c r="C23" s="159" t="s">
        <v>428</v>
      </c>
      <c r="D23" s="160" t="s">
        <v>429</v>
      </c>
      <c r="E23" s="161" t="s">
        <v>430</v>
      </c>
      <c r="F23" s="139"/>
    </row>
    <row r="24" spans="1:10" ht="24.95" customHeight="1">
      <c r="A24" s="136"/>
      <c r="B24" s="203" t="s">
        <v>463</v>
      </c>
      <c r="C24" s="162" t="s">
        <v>431</v>
      </c>
      <c r="D24" s="163" t="s">
        <v>432</v>
      </c>
      <c r="E24" s="164" t="s">
        <v>433</v>
      </c>
      <c r="F24" s="139"/>
    </row>
    <row r="25" spans="1:10" ht="24.95" customHeight="1">
      <c r="A25" s="136"/>
      <c r="B25" s="204"/>
      <c r="C25" s="165" t="s">
        <v>434</v>
      </c>
      <c r="D25" s="166" t="s">
        <v>435</v>
      </c>
      <c r="E25" s="167" t="s">
        <v>436</v>
      </c>
      <c r="F25" s="139"/>
    </row>
    <row r="26" spans="1:10" ht="24.95" customHeight="1">
      <c r="A26" s="136"/>
      <c r="B26" s="204"/>
      <c r="C26" s="168" t="s">
        <v>437</v>
      </c>
      <c r="D26" s="169" t="s">
        <v>438</v>
      </c>
      <c r="E26" s="170" t="s">
        <v>439</v>
      </c>
      <c r="F26" s="139"/>
    </row>
    <row r="27" spans="1:10" ht="15.95" customHeight="1">
      <c r="A27" s="136"/>
      <c r="B27" s="204"/>
      <c r="C27" s="171" t="s">
        <v>138</v>
      </c>
      <c r="D27" s="172" t="s">
        <v>139</v>
      </c>
      <c r="E27" s="173" t="s">
        <v>455</v>
      </c>
      <c r="F27" s="139"/>
    </row>
    <row r="28" spans="1:10" ht="15.95" customHeight="1">
      <c r="A28" s="136"/>
      <c r="B28" s="204"/>
      <c r="C28" s="171" t="s">
        <v>89</v>
      </c>
      <c r="D28" s="172" t="s">
        <v>140</v>
      </c>
      <c r="E28" s="173"/>
      <c r="F28" s="139"/>
    </row>
    <row r="29" spans="1:10" ht="15.95" customHeight="1">
      <c r="A29" s="136"/>
      <c r="B29" s="204"/>
      <c r="C29" s="171" t="s">
        <v>80</v>
      </c>
      <c r="D29" s="172" t="s">
        <v>104</v>
      </c>
      <c r="E29" s="173"/>
      <c r="F29" s="139"/>
    </row>
    <row r="30" spans="1:10" ht="15.95" customHeight="1">
      <c r="A30" s="136"/>
      <c r="B30" s="204"/>
      <c r="C30" s="171" t="s">
        <v>106</v>
      </c>
      <c r="D30" s="172" t="s">
        <v>71</v>
      </c>
      <c r="E30" s="173"/>
      <c r="F30" s="139"/>
    </row>
    <row r="31" spans="1:10" ht="15.95" customHeight="1">
      <c r="A31" s="136"/>
      <c r="B31" s="204"/>
      <c r="C31" s="171" t="s">
        <v>96</v>
      </c>
      <c r="D31" s="172" t="s">
        <v>128</v>
      </c>
      <c r="E31" s="173"/>
      <c r="F31" s="139"/>
    </row>
    <row r="32" spans="1:10" ht="15.95" customHeight="1">
      <c r="A32" s="136"/>
      <c r="B32" s="204"/>
      <c r="C32" s="171" t="s">
        <v>153</v>
      </c>
      <c r="D32" s="172" t="s">
        <v>109</v>
      </c>
      <c r="E32" s="173"/>
      <c r="F32" s="139"/>
    </row>
    <row r="33" spans="1:10" ht="15.95" customHeight="1">
      <c r="A33" s="136"/>
      <c r="B33" s="204"/>
      <c r="C33" s="171" t="s">
        <v>68</v>
      </c>
      <c r="D33" s="172" t="s">
        <v>110</v>
      </c>
      <c r="E33" s="173"/>
      <c r="F33" s="139"/>
    </row>
    <row r="34" spans="1:10" ht="15.95" customHeight="1">
      <c r="A34" s="136"/>
      <c r="B34" s="204"/>
      <c r="C34" s="171" t="s">
        <v>43</v>
      </c>
      <c r="D34" s="172" t="s">
        <v>118</v>
      </c>
      <c r="E34" s="173"/>
      <c r="F34" s="139"/>
    </row>
    <row r="35" spans="1:10" ht="15.95" customHeight="1">
      <c r="A35" s="136"/>
      <c r="B35" s="204"/>
      <c r="C35" s="171" t="s">
        <v>82</v>
      </c>
      <c r="D35" s="172" t="s">
        <v>133</v>
      </c>
      <c r="E35" s="173"/>
      <c r="F35" s="139"/>
      <c r="G35" s="146"/>
      <c r="H35" s="146"/>
      <c r="I35" s="146"/>
      <c r="J35" s="146"/>
    </row>
    <row r="36" spans="1:10" ht="15.95" customHeight="1">
      <c r="A36" s="136"/>
      <c r="B36" s="204"/>
      <c r="C36" s="171" t="s">
        <v>73</v>
      </c>
      <c r="D36" s="172" t="s">
        <v>102</v>
      </c>
      <c r="E36" s="173"/>
      <c r="F36" s="139"/>
    </row>
    <row r="37" spans="1:10" ht="15.95" customHeight="1">
      <c r="A37" s="136"/>
      <c r="B37" s="204"/>
      <c r="C37" s="171" t="s">
        <v>98</v>
      </c>
      <c r="D37" s="172" t="s">
        <v>125</v>
      </c>
      <c r="E37" s="173"/>
      <c r="F37" s="139"/>
    </row>
    <row r="38" spans="1:10" ht="15.95" customHeight="1">
      <c r="A38" s="136"/>
      <c r="B38" s="204"/>
      <c r="C38" s="171" t="s">
        <v>124</v>
      </c>
      <c r="D38" s="172" t="s">
        <v>132</v>
      </c>
      <c r="E38" s="173"/>
      <c r="F38" s="139"/>
    </row>
    <row r="39" spans="1:10" ht="15.95" customHeight="1">
      <c r="A39" s="136"/>
      <c r="B39" s="204"/>
      <c r="C39" s="171" t="s">
        <v>53</v>
      </c>
      <c r="D39" s="172"/>
      <c r="E39" s="173"/>
      <c r="F39" s="139"/>
    </row>
    <row r="40" spans="1:10" ht="15.95" customHeight="1">
      <c r="A40" s="136"/>
      <c r="B40" s="204"/>
      <c r="C40" s="171" t="s">
        <v>150</v>
      </c>
      <c r="D40" s="172"/>
      <c r="E40" s="173"/>
      <c r="F40" s="139"/>
    </row>
    <row r="41" spans="1:10" ht="15.95" customHeight="1">
      <c r="A41" s="136"/>
      <c r="B41" s="204"/>
      <c r="C41" s="171" t="s">
        <v>47</v>
      </c>
      <c r="D41" s="172"/>
      <c r="E41" s="173"/>
      <c r="F41" s="139"/>
    </row>
    <row r="42" spans="1:10" ht="15.95" customHeight="1">
      <c r="A42" s="136"/>
      <c r="B42" s="204"/>
      <c r="C42" s="171" t="s">
        <v>60</v>
      </c>
      <c r="D42" s="172"/>
      <c r="E42" s="173"/>
      <c r="F42" s="139"/>
    </row>
    <row r="43" spans="1:10" ht="15.95" customHeight="1">
      <c r="A43" s="136"/>
      <c r="B43" s="204"/>
      <c r="C43" s="171" t="s">
        <v>100</v>
      </c>
      <c r="D43" s="172"/>
      <c r="E43" s="173"/>
      <c r="F43" s="139"/>
    </row>
    <row r="44" spans="1:10" ht="15.95" customHeight="1">
      <c r="A44" s="136"/>
      <c r="B44" s="204"/>
      <c r="C44" s="171" t="s">
        <v>105</v>
      </c>
      <c r="D44" s="172"/>
      <c r="E44" s="173"/>
      <c r="F44" s="139"/>
    </row>
    <row r="45" spans="1:10" ht="15.95" customHeight="1">
      <c r="A45" s="136"/>
      <c r="B45" s="204"/>
      <c r="C45" s="171" t="s">
        <v>55</v>
      </c>
      <c r="D45" s="172"/>
      <c r="E45" s="173"/>
      <c r="F45" s="139"/>
    </row>
    <row r="46" spans="1:10" ht="15.95" customHeight="1">
      <c r="A46" s="136"/>
      <c r="B46" s="204"/>
      <c r="C46" s="171" t="s">
        <v>91</v>
      </c>
      <c r="D46" s="172"/>
      <c r="E46" s="173"/>
      <c r="F46" s="139"/>
    </row>
    <row r="47" spans="1:10" ht="15.95" customHeight="1">
      <c r="A47" s="136"/>
      <c r="B47" s="204"/>
      <c r="C47" s="171" t="s">
        <v>129</v>
      </c>
      <c r="D47" s="172"/>
      <c r="E47" s="173"/>
      <c r="F47" s="139"/>
    </row>
    <row r="48" spans="1:10" ht="15.95" customHeight="1">
      <c r="A48" s="136"/>
      <c r="B48" s="204"/>
      <c r="C48" s="171" t="s">
        <v>51</v>
      </c>
      <c r="D48" s="172"/>
      <c r="E48" s="173"/>
      <c r="F48" s="139"/>
    </row>
    <row r="49" spans="1:6" ht="15.95" customHeight="1">
      <c r="A49" s="136"/>
      <c r="B49" s="204"/>
      <c r="C49" s="171" t="s">
        <v>93</v>
      </c>
      <c r="D49" s="172"/>
      <c r="E49" s="173"/>
      <c r="F49" s="139"/>
    </row>
    <row r="50" spans="1:6" ht="15.95" customHeight="1">
      <c r="A50" s="136"/>
      <c r="B50" s="204"/>
      <c r="C50" s="171" t="s">
        <v>143</v>
      </c>
      <c r="D50" s="172"/>
      <c r="E50" s="173"/>
      <c r="F50" s="139"/>
    </row>
    <row r="51" spans="1:6" ht="15.95" customHeight="1">
      <c r="A51" s="136"/>
      <c r="B51" s="204"/>
      <c r="C51" s="171" t="s">
        <v>99</v>
      </c>
      <c r="D51" s="172"/>
      <c r="E51" s="173"/>
      <c r="F51" s="139"/>
    </row>
    <row r="52" spans="1:6" ht="15.95" customHeight="1">
      <c r="A52" s="136"/>
      <c r="B52" s="204"/>
      <c r="C52" s="171" t="s">
        <v>117</v>
      </c>
      <c r="D52" s="172"/>
      <c r="E52" s="173"/>
      <c r="F52" s="139"/>
    </row>
    <row r="53" spans="1:6" ht="15.95" customHeight="1">
      <c r="A53" s="136"/>
      <c r="B53" s="204"/>
      <c r="C53" s="171" t="s">
        <v>115</v>
      </c>
      <c r="D53" s="172"/>
      <c r="E53" s="173"/>
      <c r="F53" s="139"/>
    </row>
    <row r="54" spans="1:6" ht="15.95" customHeight="1">
      <c r="A54" s="136"/>
      <c r="B54" s="204"/>
      <c r="C54" s="171" t="s">
        <v>56</v>
      </c>
      <c r="D54" s="172"/>
      <c r="E54" s="173"/>
      <c r="F54" s="139"/>
    </row>
    <row r="55" spans="1:6" ht="15.95" customHeight="1">
      <c r="A55" s="136"/>
      <c r="B55" s="204"/>
      <c r="C55" s="171" t="s">
        <v>48</v>
      </c>
      <c r="D55" s="172"/>
      <c r="E55" s="173"/>
      <c r="F55" s="139"/>
    </row>
    <row r="56" spans="1:6" ht="15.95" customHeight="1">
      <c r="A56" s="136"/>
      <c r="B56" s="204"/>
      <c r="C56" s="171" t="s">
        <v>126</v>
      </c>
      <c r="D56" s="172"/>
      <c r="E56" s="173"/>
      <c r="F56" s="139"/>
    </row>
    <row r="57" spans="1:6" ht="15.95" customHeight="1">
      <c r="A57" s="136"/>
      <c r="B57" s="205"/>
      <c r="C57" s="174" t="s">
        <v>146</v>
      </c>
      <c r="D57" s="175"/>
      <c r="E57" s="176"/>
      <c r="F57" s="139"/>
    </row>
    <row r="58" spans="1:6" ht="15.95" customHeight="1">
      <c r="A58" s="136"/>
      <c r="B58" s="177"/>
      <c r="C58" s="177"/>
      <c r="D58" s="177"/>
      <c r="E58" s="177"/>
      <c r="F58" s="139"/>
    </row>
    <row r="59" spans="1:6" ht="24.95" customHeight="1">
      <c r="A59" s="136"/>
      <c r="B59" s="206" t="s">
        <v>464</v>
      </c>
      <c r="C59" s="162" t="s">
        <v>440</v>
      </c>
      <c r="D59" s="163" t="s">
        <v>441</v>
      </c>
      <c r="E59" s="164" t="s">
        <v>442</v>
      </c>
      <c r="F59" s="139"/>
    </row>
    <row r="60" spans="1:6" ht="24.95" customHeight="1">
      <c r="A60" s="136"/>
      <c r="B60" s="207"/>
      <c r="C60" s="165" t="s">
        <v>443</v>
      </c>
      <c r="D60" s="166" t="s">
        <v>444</v>
      </c>
      <c r="E60" s="167" t="s">
        <v>445</v>
      </c>
      <c r="F60" s="139"/>
    </row>
    <row r="61" spans="1:6" ht="24.95" customHeight="1">
      <c r="A61" s="136"/>
      <c r="B61" s="207"/>
      <c r="C61" s="168" t="s">
        <v>446</v>
      </c>
      <c r="D61" s="169" t="s">
        <v>447</v>
      </c>
      <c r="E61" s="170" t="s">
        <v>448</v>
      </c>
      <c r="F61" s="139"/>
    </row>
    <row r="62" spans="1:6" ht="15.95" customHeight="1">
      <c r="A62" s="136"/>
      <c r="B62" s="207"/>
      <c r="C62" s="171" t="s">
        <v>18</v>
      </c>
      <c r="D62" s="172" t="s">
        <v>35</v>
      </c>
      <c r="E62" s="173" t="s">
        <v>103</v>
      </c>
      <c r="F62" s="139"/>
    </row>
    <row r="63" spans="1:6" ht="15.95" customHeight="1">
      <c r="A63" s="136"/>
      <c r="B63" s="207"/>
      <c r="C63" s="171" t="s">
        <v>14</v>
      </c>
      <c r="D63" s="172" t="s">
        <v>63</v>
      </c>
      <c r="E63" s="173" t="s">
        <v>134</v>
      </c>
      <c r="F63" s="139"/>
    </row>
    <row r="64" spans="1:6" ht="15.95" customHeight="1">
      <c r="A64" s="136"/>
      <c r="B64" s="207"/>
      <c r="C64" s="171" t="s">
        <v>41</v>
      </c>
      <c r="D64" s="172" t="s">
        <v>46</v>
      </c>
      <c r="E64" s="173" t="s">
        <v>122</v>
      </c>
      <c r="F64" s="139"/>
    </row>
    <row r="65" spans="1:6" ht="15.95" customHeight="1">
      <c r="A65" s="136"/>
      <c r="B65" s="207"/>
      <c r="C65" s="171" t="s">
        <v>6</v>
      </c>
      <c r="D65" s="172" t="s">
        <v>78</v>
      </c>
      <c r="E65" s="173" t="s">
        <v>108</v>
      </c>
      <c r="F65" s="139"/>
    </row>
    <row r="66" spans="1:6" ht="15.95" customHeight="1">
      <c r="A66" s="136"/>
      <c r="B66" s="207"/>
      <c r="C66" s="171" t="s">
        <v>22</v>
      </c>
      <c r="D66" s="172" t="s">
        <v>21</v>
      </c>
      <c r="E66" s="173" t="s">
        <v>69</v>
      </c>
      <c r="F66" s="139"/>
    </row>
    <row r="67" spans="1:6" ht="15.95" customHeight="1">
      <c r="A67" s="136"/>
      <c r="B67" s="207"/>
      <c r="C67" s="171" t="s">
        <v>23</v>
      </c>
      <c r="D67" s="172" t="s">
        <v>7</v>
      </c>
      <c r="E67" s="173" t="s">
        <v>92</v>
      </c>
      <c r="F67" s="139"/>
    </row>
    <row r="68" spans="1:6" ht="15.95" customHeight="1">
      <c r="A68" s="136"/>
      <c r="B68" s="207"/>
      <c r="C68" s="171" t="s">
        <v>30</v>
      </c>
      <c r="D68" s="172" t="s">
        <v>79</v>
      </c>
      <c r="E68" s="173" t="s">
        <v>131</v>
      </c>
      <c r="F68" s="139"/>
    </row>
    <row r="69" spans="1:6" ht="15.95" customHeight="1">
      <c r="A69" s="136"/>
      <c r="B69" s="207"/>
      <c r="C69" s="171" t="s">
        <v>10</v>
      </c>
      <c r="D69" s="172" t="s">
        <v>37</v>
      </c>
      <c r="E69" s="173" t="s">
        <v>142</v>
      </c>
      <c r="F69" s="139"/>
    </row>
    <row r="70" spans="1:6" ht="15.95" customHeight="1">
      <c r="A70" s="136"/>
      <c r="B70" s="207"/>
      <c r="C70" s="171" t="s">
        <v>28</v>
      </c>
      <c r="D70" s="172" t="s">
        <v>65</v>
      </c>
      <c r="E70" s="173" t="s">
        <v>97</v>
      </c>
      <c r="F70" s="139"/>
    </row>
    <row r="71" spans="1:6" ht="15.95" customHeight="1">
      <c r="A71" s="136"/>
      <c r="B71" s="207"/>
      <c r="C71" s="171" t="s">
        <v>49</v>
      </c>
      <c r="D71" s="172" t="s">
        <v>70</v>
      </c>
      <c r="E71" s="173" t="s">
        <v>112</v>
      </c>
      <c r="F71" s="139"/>
    </row>
    <row r="72" spans="1:6" ht="15.95" customHeight="1">
      <c r="A72" s="136"/>
      <c r="B72" s="207"/>
      <c r="C72" s="171" t="s">
        <v>13</v>
      </c>
      <c r="D72" s="172" t="s">
        <v>90</v>
      </c>
      <c r="E72" s="173" t="s">
        <v>154</v>
      </c>
      <c r="F72" s="139"/>
    </row>
    <row r="73" spans="1:6" ht="15.95" customHeight="1">
      <c r="A73" s="136"/>
      <c r="B73" s="207"/>
      <c r="C73" s="171"/>
      <c r="D73" s="172" t="s">
        <v>123</v>
      </c>
      <c r="E73" s="173" t="s">
        <v>116</v>
      </c>
      <c r="F73" s="139"/>
    </row>
    <row r="74" spans="1:6" ht="15.95" customHeight="1">
      <c r="A74" s="136"/>
      <c r="B74" s="207"/>
      <c r="C74" s="171"/>
      <c r="D74" s="172" t="s">
        <v>36</v>
      </c>
      <c r="E74" s="173" t="s">
        <v>137</v>
      </c>
      <c r="F74" s="139"/>
    </row>
    <row r="75" spans="1:6" ht="15.95" customHeight="1">
      <c r="A75" s="136"/>
      <c r="B75" s="207"/>
      <c r="C75" s="171"/>
      <c r="D75" s="172" t="s">
        <v>33</v>
      </c>
      <c r="E75" s="173" t="s">
        <v>151</v>
      </c>
      <c r="F75" s="139"/>
    </row>
    <row r="76" spans="1:6" ht="15.95" customHeight="1">
      <c r="A76" s="136"/>
      <c r="B76" s="207"/>
      <c r="C76" s="171"/>
      <c r="D76" s="172" t="s">
        <v>20</v>
      </c>
      <c r="E76" s="173" t="s">
        <v>111</v>
      </c>
      <c r="F76" s="139"/>
    </row>
    <row r="77" spans="1:6" ht="15.95" customHeight="1">
      <c r="A77" s="136"/>
      <c r="B77" s="207"/>
      <c r="C77" s="171"/>
      <c r="D77" s="172" t="s">
        <v>87</v>
      </c>
      <c r="E77" s="173" t="s">
        <v>144</v>
      </c>
      <c r="F77" s="139"/>
    </row>
    <row r="78" spans="1:6" ht="15.95" customHeight="1">
      <c r="A78" s="136"/>
      <c r="B78" s="207"/>
      <c r="C78" s="171"/>
      <c r="D78" s="172" t="s">
        <v>61</v>
      </c>
      <c r="E78" s="173"/>
      <c r="F78" s="139"/>
    </row>
    <row r="79" spans="1:6" ht="15.95" customHeight="1">
      <c r="A79" s="136"/>
      <c r="B79" s="207"/>
      <c r="C79" s="171"/>
      <c r="D79" s="172" t="s">
        <v>72</v>
      </c>
      <c r="E79" s="173"/>
      <c r="F79" s="139"/>
    </row>
    <row r="80" spans="1:6" ht="15.95" customHeight="1">
      <c r="A80" s="136"/>
      <c r="B80" s="207"/>
      <c r="C80" s="171"/>
      <c r="D80" s="172" t="s">
        <v>107</v>
      </c>
      <c r="E80" s="173"/>
      <c r="F80" s="139"/>
    </row>
    <row r="81" spans="1:6" ht="15.95" customHeight="1">
      <c r="A81" s="136"/>
      <c r="B81" s="207"/>
      <c r="C81" s="171"/>
      <c r="D81" s="172" t="s">
        <v>24</v>
      </c>
      <c r="E81" s="173"/>
      <c r="F81" s="139"/>
    </row>
    <row r="82" spans="1:6" ht="15.95" customHeight="1">
      <c r="A82" s="136"/>
      <c r="B82" s="207"/>
      <c r="C82" s="171"/>
      <c r="D82" s="172" t="s">
        <v>39</v>
      </c>
      <c r="E82" s="173"/>
      <c r="F82" s="139"/>
    </row>
    <row r="83" spans="1:6" ht="15.95" customHeight="1">
      <c r="A83" s="136"/>
      <c r="B83" s="208"/>
      <c r="C83" s="174"/>
      <c r="D83" s="175" t="s">
        <v>50</v>
      </c>
      <c r="E83" s="176"/>
      <c r="F83" s="139"/>
    </row>
    <row r="84" spans="1:6" ht="15.95" customHeight="1">
      <c r="A84" s="136"/>
      <c r="B84" s="177"/>
      <c r="C84" s="177"/>
      <c r="D84" s="177"/>
      <c r="E84" s="177"/>
      <c r="F84" s="139"/>
    </row>
    <row r="85" spans="1:6" ht="24.95" customHeight="1">
      <c r="A85" s="136"/>
      <c r="B85" s="192" t="s">
        <v>465</v>
      </c>
      <c r="C85" s="165" t="s">
        <v>433</v>
      </c>
      <c r="D85" s="166" t="s">
        <v>449</v>
      </c>
      <c r="E85" s="167" t="s">
        <v>450</v>
      </c>
      <c r="F85" s="139"/>
    </row>
    <row r="86" spans="1:6" ht="24.95" customHeight="1">
      <c r="A86" s="136"/>
      <c r="B86" s="193"/>
      <c r="C86" s="165" t="s">
        <v>436</v>
      </c>
      <c r="D86" s="166" t="s">
        <v>451</v>
      </c>
      <c r="E86" s="167" t="s">
        <v>452</v>
      </c>
      <c r="F86" s="139"/>
    </row>
    <row r="87" spans="1:6" ht="24.95" customHeight="1">
      <c r="A87" s="136"/>
      <c r="B87" s="193"/>
      <c r="C87" s="165" t="s">
        <v>439</v>
      </c>
      <c r="D87" s="169" t="s">
        <v>453</v>
      </c>
      <c r="E87" s="170" t="s">
        <v>454</v>
      </c>
      <c r="F87" s="139"/>
    </row>
    <row r="88" spans="1:6" ht="15.95" customHeight="1">
      <c r="A88" s="136"/>
      <c r="B88" s="193"/>
      <c r="C88" s="171" t="s">
        <v>455</v>
      </c>
      <c r="D88" s="172" t="s">
        <v>26</v>
      </c>
      <c r="E88" s="173" t="s">
        <v>45</v>
      </c>
      <c r="F88" s="139"/>
    </row>
    <row r="89" spans="1:6" ht="15.95" customHeight="1">
      <c r="A89" s="136"/>
      <c r="B89" s="193"/>
      <c r="C89" s="171"/>
      <c r="D89" s="172" t="s">
        <v>5</v>
      </c>
      <c r="E89" s="173" t="s">
        <v>119</v>
      </c>
      <c r="F89" s="139"/>
    </row>
    <row r="90" spans="1:6" ht="15.95" customHeight="1">
      <c r="A90" s="136"/>
      <c r="B90" s="193"/>
      <c r="C90" s="171"/>
      <c r="D90" s="172" t="s">
        <v>4</v>
      </c>
      <c r="E90" s="173" t="s">
        <v>88</v>
      </c>
      <c r="F90" s="139"/>
    </row>
    <row r="91" spans="1:6" ht="15.95" customHeight="1">
      <c r="A91" s="136"/>
      <c r="B91" s="193"/>
      <c r="C91" s="171"/>
      <c r="D91" s="172" t="s">
        <v>17</v>
      </c>
      <c r="E91" s="173" t="s">
        <v>149</v>
      </c>
      <c r="F91" s="139"/>
    </row>
    <row r="92" spans="1:6" ht="15.95" customHeight="1">
      <c r="A92" s="136"/>
      <c r="B92" s="193"/>
      <c r="C92" s="171"/>
      <c r="D92" s="172" t="s">
        <v>8</v>
      </c>
      <c r="E92" s="173" t="s">
        <v>120</v>
      </c>
      <c r="F92" s="139"/>
    </row>
    <row r="93" spans="1:6" ht="15.95" customHeight="1">
      <c r="A93" s="136"/>
      <c r="B93" s="193"/>
      <c r="C93" s="171"/>
      <c r="D93" s="172" t="s">
        <v>9</v>
      </c>
      <c r="E93" s="173" t="s">
        <v>66</v>
      </c>
      <c r="F93" s="139"/>
    </row>
    <row r="94" spans="1:6" ht="15.95" customHeight="1">
      <c r="A94" s="136"/>
      <c r="B94" s="193"/>
      <c r="C94" s="171"/>
      <c r="D94" s="172" t="s">
        <v>38</v>
      </c>
      <c r="E94" s="173" t="s">
        <v>130</v>
      </c>
      <c r="F94" s="139"/>
    </row>
    <row r="95" spans="1:6" ht="15.95" customHeight="1">
      <c r="A95" s="136"/>
      <c r="B95" s="193"/>
      <c r="C95" s="171"/>
      <c r="D95" s="172" t="s">
        <v>27</v>
      </c>
      <c r="E95" s="173" t="s">
        <v>86</v>
      </c>
      <c r="F95" s="139"/>
    </row>
    <row r="96" spans="1:6" ht="15.95" customHeight="1">
      <c r="A96" s="136"/>
      <c r="B96" s="193"/>
      <c r="C96" s="171"/>
      <c r="D96" s="172" t="s">
        <v>12</v>
      </c>
      <c r="E96" s="173" t="s">
        <v>58</v>
      </c>
      <c r="F96" s="139"/>
    </row>
    <row r="97" spans="1:6" ht="15.95" customHeight="1">
      <c r="A97" s="136"/>
      <c r="B97" s="193"/>
      <c r="C97" s="171"/>
      <c r="D97" s="172" t="s">
        <v>19</v>
      </c>
      <c r="E97" s="173" t="s">
        <v>83</v>
      </c>
      <c r="F97" s="139"/>
    </row>
    <row r="98" spans="1:6" ht="15.95" customHeight="1">
      <c r="A98" s="136"/>
      <c r="B98" s="193"/>
      <c r="C98" s="171"/>
      <c r="D98" s="172" t="s">
        <v>31</v>
      </c>
      <c r="E98" s="173" t="s">
        <v>101</v>
      </c>
      <c r="F98" s="139"/>
    </row>
    <row r="99" spans="1:6" ht="15.95" customHeight="1">
      <c r="A99" s="136"/>
      <c r="B99" s="193"/>
      <c r="C99" s="171"/>
      <c r="D99" s="172" t="s">
        <v>32</v>
      </c>
      <c r="E99" s="173" t="s">
        <v>141</v>
      </c>
      <c r="F99" s="139"/>
    </row>
    <row r="100" spans="1:6" ht="15.95" customHeight="1">
      <c r="A100" s="136"/>
      <c r="B100" s="193"/>
      <c r="C100" s="171"/>
      <c r="D100" s="172" t="s">
        <v>16</v>
      </c>
      <c r="E100" s="173" t="s">
        <v>57</v>
      </c>
      <c r="F100" s="139"/>
    </row>
    <row r="101" spans="1:6" ht="15.95" customHeight="1">
      <c r="A101" s="136"/>
      <c r="B101" s="193"/>
      <c r="C101" s="171"/>
      <c r="D101" s="172" t="s">
        <v>11</v>
      </c>
      <c r="E101" s="173" t="s">
        <v>44</v>
      </c>
      <c r="F101" s="139"/>
    </row>
    <row r="102" spans="1:6" ht="15.95" customHeight="1">
      <c r="A102" s="136"/>
      <c r="B102" s="193"/>
      <c r="C102" s="171"/>
      <c r="D102" s="172"/>
      <c r="E102" s="173" t="s">
        <v>40</v>
      </c>
      <c r="F102" s="139"/>
    </row>
    <row r="103" spans="1:6" ht="15.95" customHeight="1">
      <c r="A103" s="136"/>
      <c r="B103" s="193"/>
      <c r="C103" s="171"/>
      <c r="D103" s="172"/>
      <c r="E103" s="173" t="s">
        <v>64</v>
      </c>
      <c r="F103" s="139"/>
    </row>
    <row r="104" spans="1:6" ht="15.95" customHeight="1">
      <c r="A104" s="136"/>
      <c r="B104" s="193"/>
      <c r="C104" s="171"/>
      <c r="D104" s="172"/>
      <c r="E104" s="173" t="s">
        <v>147</v>
      </c>
      <c r="F104" s="139"/>
    </row>
    <row r="105" spans="1:6" ht="15.95" customHeight="1">
      <c r="A105" s="136"/>
      <c r="B105" s="193"/>
      <c r="C105" s="171"/>
      <c r="D105" s="172"/>
      <c r="E105" s="173" t="s">
        <v>85</v>
      </c>
      <c r="F105" s="139"/>
    </row>
    <row r="106" spans="1:6" ht="15.95" customHeight="1">
      <c r="A106" s="136"/>
      <c r="B106" s="193"/>
      <c r="C106" s="171"/>
      <c r="D106" s="172"/>
      <c r="E106" s="173" t="s">
        <v>81</v>
      </c>
      <c r="F106" s="139"/>
    </row>
    <row r="107" spans="1:6" ht="15.95" customHeight="1">
      <c r="A107" s="136"/>
      <c r="B107" s="193"/>
      <c r="C107" s="171"/>
      <c r="D107" s="172"/>
      <c r="E107" s="173" t="s">
        <v>54</v>
      </c>
      <c r="F107" s="139"/>
    </row>
    <row r="108" spans="1:6" ht="15.95" customHeight="1">
      <c r="A108" s="136"/>
      <c r="B108" s="193"/>
      <c r="C108" s="171"/>
      <c r="D108" s="172"/>
      <c r="E108" s="173" t="s">
        <v>74</v>
      </c>
      <c r="F108" s="139"/>
    </row>
    <row r="109" spans="1:6" ht="15.95" customHeight="1">
      <c r="A109" s="136"/>
      <c r="B109" s="193"/>
      <c r="C109" s="171"/>
      <c r="D109" s="172"/>
      <c r="E109" s="173" t="s">
        <v>52</v>
      </c>
      <c r="F109" s="139"/>
    </row>
    <row r="110" spans="1:6" ht="15.95" customHeight="1">
      <c r="A110" s="136"/>
      <c r="B110" s="193"/>
      <c r="C110" s="171"/>
      <c r="D110" s="172"/>
      <c r="E110" s="173" t="s">
        <v>75</v>
      </c>
      <c r="F110" s="139"/>
    </row>
    <row r="111" spans="1:6" ht="15.95" customHeight="1">
      <c r="A111" s="136"/>
      <c r="B111" s="193"/>
      <c r="C111" s="171"/>
      <c r="D111" s="172"/>
      <c r="E111" s="173" t="s">
        <v>148</v>
      </c>
      <c r="F111" s="139"/>
    </row>
    <row r="112" spans="1:6" ht="15.95" customHeight="1">
      <c r="A112" s="136"/>
      <c r="B112" s="193"/>
      <c r="C112" s="171"/>
      <c r="D112" s="172"/>
      <c r="E112" s="173" t="s">
        <v>135</v>
      </c>
      <c r="F112" s="139"/>
    </row>
    <row r="113" spans="1:6" ht="15.95" customHeight="1">
      <c r="A113" s="136"/>
      <c r="B113" s="193"/>
      <c r="C113" s="171"/>
      <c r="D113" s="172"/>
      <c r="E113" s="173" t="s">
        <v>152</v>
      </c>
      <c r="F113" s="139"/>
    </row>
    <row r="114" spans="1:6" ht="15.95" customHeight="1">
      <c r="A114" s="136"/>
      <c r="B114" s="193"/>
      <c r="C114" s="171"/>
      <c r="D114" s="172"/>
      <c r="E114" s="173" t="s">
        <v>113</v>
      </c>
      <c r="F114" s="139"/>
    </row>
    <row r="115" spans="1:6" ht="15.95" customHeight="1">
      <c r="A115" s="136"/>
      <c r="B115" s="193"/>
      <c r="C115" s="171"/>
      <c r="D115" s="172"/>
      <c r="E115" s="173" t="s">
        <v>34</v>
      </c>
      <c r="F115" s="139"/>
    </row>
    <row r="116" spans="1:6" ht="15.95" customHeight="1">
      <c r="A116" s="136"/>
      <c r="B116" s="193"/>
      <c r="C116" s="171"/>
      <c r="D116" s="172"/>
      <c r="E116" s="173" t="s">
        <v>25</v>
      </c>
      <c r="F116" s="139"/>
    </row>
    <row r="117" spans="1:6" ht="15.95" customHeight="1">
      <c r="A117" s="136"/>
      <c r="B117" s="193"/>
      <c r="C117" s="171"/>
      <c r="D117" s="172"/>
      <c r="E117" s="173" t="s">
        <v>59</v>
      </c>
      <c r="F117" s="139"/>
    </row>
    <row r="118" spans="1:6" ht="15.95" customHeight="1">
      <c r="A118" s="136"/>
      <c r="B118" s="193"/>
      <c r="C118" s="171"/>
      <c r="D118" s="172"/>
      <c r="E118" s="173" t="s">
        <v>94</v>
      </c>
      <c r="F118" s="139"/>
    </row>
    <row r="119" spans="1:6" ht="15.95" customHeight="1">
      <c r="A119" s="136"/>
      <c r="B119" s="193"/>
      <c r="C119" s="171"/>
      <c r="D119" s="172"/>
      <c r="E119" s="173" t="s">
        <v>84</v>
      </c>
      <c r="F119" s="139"/>
    </row>
    <row r="120" spans="1:6" ht="15.95" customHeight="1">
      <c r="A120" s="136"/>
      <c r="B120" s="193"/>
      <c r="C120" s="171"/>
      <c r="D120" s="172"/>
      <c r="E120" s="173" t="s">
        <v>155</v>
      </c>
      <c r="F120" s="139"/>
    </row>
    <row r="121" spans="1:6" ht="15.95" customHeight="1">
      <c r="A121" s="136"/>
      <c r="B121" s="193"/>
      <c r="C121" s="171"/>
      <c r="D121" s="172"/>
      <c r="E121" s="173" t="s">
        <v>77</v>
      </c>
      <c r="F121" s="139"/>
    </row>
    <row r="122" spans="1:6" ht="15.95" customHeight="1">
      <c r="A122" s="136"/>
      <c r="B122" s="193"/>
      <c r="C122" s="171"/>
      <c r="D122" s="172"/>
      <c r="E122" s="173" t="s">
        <v>121</v>
      </c>
      <c r="F122" s="139"/>
    </row>
    <row r="123" spans="1:6" ht="15.95" customHeight="1">
      <c r="A123" s="136"/>
      <c r="B123" s="193"/>
      <c r="C123" s="171"/>
      <c r="D123" s="172"/>
      <c r="E123" s="173" t="s">
        <v>95</v>
      </c>
      <c r="F123" s="139"/>
    </row>
    <row r="124" spans="1:6" ht="15.95" customHeight="1">
      <c r="A124" s="136"/>
      <c r="B124" s="193"/>
      <c r="C124" s="171"/>
      <c r="D124" s="172"/>
      <c r="E124" s="173" t="s">
        <v>76</v>
      </c>
      <c r="F124" s="139"/>
    </row>
    <row r="125" spans="1:6" ht="15.95" customHeight="1">
      <c r="A125" s="136"/>
      <c r="B125" s="193"/>
      <c r="C125" s="171"/>
      <c r="D125" s="172"/>
      <c r="E125" s="173" t="s">
        <v>67</v>
      </c>
      <c r="F125" s="139"/>
    </row>
    <row r="126" spans="1:6" ht="15.95" customHeight="1">
      <c r="A126" s="136"/>
      <c r="B126" s="193"/>
      <c r="C126" s="171"/>
      <c r="D126" s="172"/>
      <c r="E126" s="173" t="s">
        <v>127</v>
      </c>
      <c r="F126" s="139"/>
    </row>
    <row r="127" spans="1:6" ht="15.95" customHeight="1">
      <c r="A127" s="136"/>
      <c r="B127" s="193"/>
      <c r="C127" s="171"/>
      <c r="D127" s="172"/>
      <c r="E127" s="173" t="s">
        <v>42</v>
      </c>
      <c r="F127" s="139"/>
    </row>
    <row r="128" spans="1:6" ht="15.95" customHeight="1">
      <c r="A128" s="136"/>
      <c r="B128" s="193"/>
      <c r="C128" s="171"/>
      <c r="D128" s="172"/>
      <c r="E128" s="173" t="s">
        <v>62</v>
      </c>
      <c r="F128" s="139"/>
    </row>
    <row r="129" spans="1:6" ht="15.95" customHeight="1">
      <c r="A129" s="136"/>
      <c r="B129" s="193"/>
      <c r="C129" s="171"/>
      <c r="D129" s="172"/>
      <c r="E129" s="173" t="s">
        <v>15</v>
      </c>
      <c r="F129" s="139"/>
    </row>
    <row r="130" spans="1:6" ht="15.95" customHeight="1">
      <c r="A130" s="136"/>
      <c r="B130" s="193"/>
      <c r="C130" s="171"/>
      <c r="D130" s="172"/>
      <c r="E130" s="173" t="s">
        <v>114</v>
      </c>
      <c r="F130" s="139"/>
    </row>
    <row r="131" spans="1:6" ht="15.95" customHeight="1">
      <c r="A131" s="136"/>
      <c r="B131" s="193"/>
      <c r="C131" s="171"/>
      <c r="D131" s="172"/>
      <c r="E131" s="173" t="s">
        <v>145</v>
      </c>
      <c r="F131" s="139"/>
    </row>
    <row r="132" spans="1:6" ht="15.95" customHeight="1">
      <c r="A132" s="136"/>
      <c r="B132" s="193"/>
      <c r="C132" s="171"/>
      <c r="D132" s="172"/>
      <c r="E132" s="173" t="s">
        <v>29</v>
      </c>
      <c r="F132" s="139"/>
    </row>
    <row r="133" spans="1:6" ht="15.95" customHeight="1">
      <c r="A133" s="136"/>
      <c r="B133" s="194"/>
      <c r="C133" s="174"/>
      <c r="D133" s="175"/>
      <c r="E133" s="176" t="s">
        <v>136</v>
      </c>
      <c r="F133" s="139"/>
    </row>
    <row r="134" spans="1:6">
      <c r="B134" s="146"/>
      <c r="C134" s="146"/>
      <c r="D134" s="146"/>
      <c r="E134" s="146"/>
    </row>
    <row r="139" spans="1:6" ht="15.75" thickBot="1">
      <c r="B139" s="134"/>
      <c r="C139" s="134"/>
      <c r="D139" s="134"/>
      <c r="E139" s="134"/>
    </row>
    <row r="140" spans="1:6" ht="132" thickBot="1">
      <c r="A140" s="136"/>
      <c r="B140" s="147" t="s">
        <v>427</v>
      </c>
      <c r="C140" s="148" t="s">
        <v>428</v>
      </c>
      <c r="D140" s="149" t="s">
        <v>429</v>
      </c>
      <c r="E140" s="150" t="s">
        <v>430</v>
      </c>
      <c r="F140" s="139"/>
    </row>
    <row r="141" spans="1:6" ht="47.1" customHeight="1">
      <c r="A141" s="136"/>
      <c r="B141" s="195" t="s">
        <v>463</v>
      </c>
      <c r="C141" s="151" t="s">
        <v>431</v>
      </c>
      <c r="D141" s="151" t="s">
        <v>432</v>
      </c>
      <c r="E141" s="152" t="s">
        <v>433</v>
      </c>
      <c r="F141" s="139"/>
    </row>
    <row r="142" spans="1:6" ht="47.1" customHeight="1">
      <c r="A142" s="136"/>
      <c r="B142" s="196"/>
      <c r="C142" s="153" t="s">
        <v>434</v>
      </c>
      <c r="D142" s="153" t="s">
        <v>435</v>
      </c>
      <c r="E142" s="154" t="s">
        <v>436</v>
      </c>
      <c r="F142" s="139"/>
    </row>
    <row r="143" spans="1:6" ht="47.1" customHeight="1" thickBot="1">
      <c r="A143" s="136"/>
      <c r="B143" s="197"/>
      <c r="C143" s="155" t="s">
        <v>437</v>
      </c>
      <c r="D143" s="155" t="s">
        <v>438</v>
      </c>
      <c r="E143" s="155" t="s">
        <v>439</v>
      </c>
      <c r="F143" s="139"/>
    </row>
    <row r="144" spans="1:6" ht="47.1" customHeight="1">
      <c r="A144" s="136"/>
      <c r="B144" s="198" t="s">
        <v>464</v>
      </c>
      <c r="C144" s="151" t="s">
        <v>440</v>
      </c>
      <c r="D144" s="151" t="s">
        <v>441</v>
      </c>
      <c r="E144" s="152" t="s">
        <v>442</v>
      </c>
      <c r="F144" s="139"/>
    </row>
    <row r="145" spans="1:6" ht="47.1" customHeight="1">
      <c r="A145" s="136"/>
      <c r="B145" s="199"/>
      <c r="C145" s="153" t="s">
        <v>443</v>
      </c>
      <c r="D145" s="153" t="s">
        <v>444</v>
      </c>
      <c r="E145" s="154" t="s">
        <v>445</v>
      </c>
      <c r="F145" s="139"/>
    </row>
    <row r="146" spans="1:6" ht="47.1" customHeight="1" thickBot="1">
      <c r="A146" s="136"/>
      <c r="B146" s="199"/>
      <c r="C146" s="155" t="s">
        <v>446</v>
      </c>
      <c r="D146" s="155" t="s">
        <v>447</v>
      </c>
      <c r="E146" s="155" t="s">
        <v>448</v>
      </c>
      <c r="F146" s="139"/>
    </row>
    <row r="147" spans="1:6" ht="47.1" customHeight="1">
      <c r="A147" s="136"/>
      <c r="B147" s="200" t="s">
        <v>465</v>
      </c>
      <c r="C147" s="151" t="s">
        <v>433</v>
      </c>
      <c r="D147" s="151" t="s">
        <v>449</v>
      </c>
      <c r="E147" s="152" t="s">
        <v>450</v>
      </c>
      <c r="F147" s="139"/>
    </row>
    <row r="148" spans="1:6" ht="47.1" customHeight="1">
      <c r="A148" s="136"/>
      <c r="B148" s="201"/>
      <c r="C148" s="153" t="s">
        <v>436</v>
      </c>
      <c r="D148" s="153" t="s">
        <v>451</v>
      </c>
      <c r="E148" s="154" t="s">
        <v>452</v>
      </c>
      <c r="F148" s="139"/>
    </row>
    <row r="149" spans="1:6" ht="47.1" customHeight="1" thickBot="1">
      <c r="A149" s="136"/>
      <c r="B149" s="202"/>
      <c r="C149" s="156" t="s">
        <v>439</v>
      </c>
      <c r="D149" s="155" t="s">
        <v>453</v>
      </c>
      <c r="E149" s="155" t="s">
        <v>454</v>
      </c>
      <c r="F149" s="139"/>
    </row>
    <row r="150" spans="1:6">
      <c r="B150" s="146"/>
      <c r="C150" s="146"/>
      <c r="D150" s="146"/>
      <c r="E150" s="146"/>
    </row>
    <row r="151" spans="1:6">
      <c r="C151" s="134"/>
      <c r="D151" s="134"/>
      <c r="E151" s="134"/>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D6"/>
  <sheetViews>
    <sheetView workbookViewId="0">
      <selection activeCell="H7" sqref="H7"/>
    </sheetView>
  </sheetViews>
  <sheetFormatPr defaultColWidth="8.85546875" defaultRowHeight="14.25"/>
  <cols>
    <col min="1" max="1" width="33.85546875" style="48" bestFit="1" customWidth="1"/>
    <col min="2" max="2" width="36.85546875" style="48" customWidth="1"/>
    <col min="3" max="3" width="103.28515625" style="48" customWidth="1"/>
    <col min="4" max="16384" width="8.85546875" style="48"/>
  </cols>
  <sheetData>
    <row r="1" spans="1:4" s="45" customFormat="1" ht="19.5">
      <c r="A1" s="46" t="s">
        <v>343</v>
      </c>
      <c r="B1" s="47" t="s">
        <v>349</v>
      </c>
      <c r="C1" s="47" t="s">
        <v>350</v>
      </c>
      <c r="D1" s="44"/>
    </row>
    <row r="2" spans="1:4" ht="128.25">
      <c r="A2" s="49" t="s">
        <v>348</v>
      </c>
      <c r="B2" s="50" t="s">
        <v>0</v>
      </c>
      <c r="C2" s="51" t="s">
        <v>353</v>
      </c>
    </row>
    <row r="3" spans="1:4" ht="28.5">
      <c r="A3" s="49" t="s">
        <v>342</v>
      </c>
      <c r="B3" s="50" t="s">
        <v>351</v>
      </c>
      <c r="C3" s="50" t="s">
        <v>352</v>
      </c>
    </row>
    <row r="4" spans="1:4" ht="99.75">
      <c r="A4" s="49" t="s">
        <v>170</v>
      </c>
      <c r="B4" s="50" t="s">
        <v>1</v>
      </c>
      <c r="C4" s="50" t="s">
        <v>354</v>
      </c>
    </row>
    <row r="5" spans="1:4" ht="28.5">
      <c r="A5" s="49" t="s">
        <v>158</v>
      </c>
      <c r="B5" s="50" t="s">
        <v>345</v>
      </c>
      <c r="C5" s="50"/>
    </row>
    <row r="6" spans="1:4">
      <c r="A6" s="49" t="s">
        <v>347</v>
      </c>
      <c r="B6" s="50" t="s">
        <v>346</v>
      </c>
      <c r="C6"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5546875" defaultRowHeight="15"/>
  <cols>
    <col min="1" max="1" width="43.14062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Saamah</cp:lastModifiedBy>
  <dcterms:created xsi:type="dcterms:W3CDTF">2021-05-27T08:31:35Z</dcterms:created>
  <dcterms:modified xsi:type="dcterms:W3CDTF">2021-10-25T08:41:34Z</dcterms:modified>
</cp:coreProperties>
</file>