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Summary Report" sheetId="1" r:id="rId3"/>
    <sheet state="visible" name="Financial Report" sheetId="2" r:id="rId4"/>
    <sheet state="visible" name="Stat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N18">
      <text>
        <t xml:space="preserve">failed to deliver audio module</t>
      </text>
    </comment>
    <comment authorId="0" ref="AO18">
      <text>
        <t xml:space="preserve">audio module not accepted </t>
      </text>
    </comment>
    <comment authorId="0" ref="AZ19">
      <text>
        <t xml:space="preserve">1,400 sq ft
X
£23.50 per sq ft per annum
/
52 weeks a year</t>
      </text>
    </comment>
    <comment authorId="0" ref="AZ26">
      <text>
        <t xml:space="preserve">APR/54 weeks</t>
      </text>
    </comment>
  </commentList>
</comments>
</file>

<file path=xl/sharedStrings.xml><?xml version="1.0" encoding="utf-8"?>
<sst xmlns="http://schemas.openxmlformats.org/spreadsheetml/2006/main" count="106" uniqueCount="88">
  <si>
    <t>SuperPres</t>
  </si>
  <si>
    <t>Finance Summary Report</t>
  </si>
  <si>
    <t>Timeframe</t>
  </si>
  <si>
    <t>Submitted on</t>
  </si>
  <si>
    <t>Week of 27/09/2021 - 20/06/2000</t>
  </si>
  <si>
    <t>Revenue</t>
  </si>
  <si>
    <t>Detail</t>
  </si>
  <si>
    <t>Term 1</t>
  </si>
  <si>
    <t>Term 2</t>
  </si>
  <si>
    <t>Term 3</t>
  </si>
  <si>
    <t>Totals</t>
  </si>
  <si>
    <t>Module Contract Trade out</t>
  </si>
  <si>
    <t>Shape &amp; Text display module for £3000.00 each to group 2, paid in three stages (see Contract)</t>
  </si>
  <si>
    <t>Business Loan</t>
  </si>
  <si>
    <t>Two stage payment, term 3 week 1(contracted) and week 3(loan amount accepted by AEW)</t>
  </si>
  <si>
    <t>Expenses</t>
  </si>
  <si>
    <t>Staff Salary</t>
  </si>
  <si>
    <t>Total of 7 members paid at a rate of £12.50 per hour, paid off weekly.</t>
  </si>
  <si>
    <t>Office Rent</t>
  </si>
  <si>
    <t>Rential of an office space of 1,400sq ft for £23.50 per sq ft per annum. Paid off week 4,7 &amp; 10 of each term.</t>
  </si>
  <si>
    <t>IT Infrastructure</t>
  </si>
  <si>
    <t>£100.00 per week, paid off week 6 &amp; 10 of each term.</t>
  </si>
  <si>
    <t>Utilities</t>
  </si>
  <si>
    <t>£50.00 per week, paid off week 6 &amp; 10 of each term.</t>
  </si>
  <si>
    <t>Module Contract Trade In</t>
  </si>
  <si>
    <t>Audio &amp; Image display module for £3000.00 each from group 2, paid in three stages (see Contract). Exception of the audio module due to breaking the contract at delivery stage, 75% of the contracted amount is not transferred.</t>
  </si>
  <si>
    <t>Loan Interest</t>
  </si>
  <si>
    <t>Interest rate at 16.86% APR, paid weekly for the total sum owned in the current week.</t>
  </si>
  <si>
    <t>Balance</t>
  </si>
  <si>
    <t>Financial Report</t>
  </si>
  <si>
    <t>PROJECT TITLE</t>
  </si>
  <si>
    <t>COMPANY NAME</t>
  </si>
  <si>
    <t>SwEng Group 3</t>
  </si>
  <si>
    <t>BUSINESS MENTOR</t>
  </si>
  <si>
    <t>Tony Ward</t>
  </si>
  <si>
    <t>DATE</t>
  </si>
  <si>
    <t>PHASE</t>
  </si>
  <si>
    <t>DETAILS</t>
  </si>
  <si>
    <t>Project End</t>
  </si>
  <si>
    <t>Week</t>
  </si>
  <si>
    <t>Sectional Sum</t>
  </si>
  <si>
    <t>Topics</t>
  </si>
  <si>
    <t>Date</t>
  </si>
  <si>
    <t>- Company Business Loan</t>
  </si>
  <si>
    <t>Module cost =</t>
  </si>
  <si>
    <t>- Module Right Agreement</t>
  </si>
  <si>
    <t>Number of module =</t>
  </si>
  <si>
    <t>- Gross Revenue</t>
  </si>
  <si>
    <t>Module 1st stage =</t>
  </si>
  <si>
    <t>Development Cost</t>
  </si>
  <si>
    <t>- Labour Pay</t>
  </si>
  <si>
    <t>Module 2nd stage =</t>
  </si>
  <si>
    <t>- Office Rent</t>
  </si>
  <si>
    <t>Module 3rd stage =</t>
  </si>
  <si>
    <t>- IT Infrastructure</t>
  </si>
  <si>
    <t xml:space="preserve">Wage  = </t>
  </si>
  <si>
    <t>- Utilities</t>
  </si>
  <si>
    <t xml:space="preserve">Number of Labour = </t>
  </si>
  <si>
    <t>- Intellectual Rights from Other Companies</t>
  </si>
  <si>
    <t xml:space="preserve">Total Hours = </t>
  </si>
  <si>
    <t>- Loan Interest Payment</t>
  </si>
  <si>
    <t>Weely office rent =</t>
  </si>
  <si>
    <t>- Gross Cost</t>
  </si>
  <si>
    <t>Weekly IT Infrastructure charge =</t>
  </si>
  <si>
    <t>Additional Costs</t>
  </si>
  <si>
    <t>- Maintenance</t>
  </si>
  <si>
    <t>Weekly Utilities charge =</t>
  </si>
  <si>
    <t>- Updates</t>
  </si>
  <si>
    <t>Total Grant =</t>
  </si>
  <si>
    <t>- Performance</t>
  </si>
  <si>
    <t>Loan 1st stage =</t>
  </si>
  <si>
    <t>- Gross Additional Expenses</t>
  </si>
  <si>
    <t>Loan 2nd stage =</t>
  </si>
  <si>
    <t>Summary</t>
  </si>
  <si>
    <t>- Weely Summary</t>
  </si>
  <si>
    <t>APR =</t>
  </si>
  <si>
    <t>- Cumulative Balance</t>
  </si>
  <si>
    <t>Weekly Interest Rate =</t>
  </si>
  <si>
    <t xml:space="preserve">Project Summative Revenue </t>
  </si>
  <si>
    <t>Project Summative Cost</t>
  </si>
  <si>
    <t>Project Summative Balance</t>
  </si>
  <si>
    <t>Utilisation</t>
  </si>
  <si>
    <t>By Project</t>
  </si>
  <si>
    <t>Cost</t>
  </si>
  <si>
    <t>Per Term</t>
  </si>
  <si>
    <t>Term 1 (27/09/21-01/03/22)</t>
  </si>
  <si>
    <t>Term 2 (10/01/22-11/04/22)</t>
  </si>
  <si>
    <t>Term 3 (18/04/22-20/06/22)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</si>
</sst>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&quot; &quot;d"/>
    <numFmt numFmtId="165" formatCode="d&quot; &quot;mmm"/>
    <numFmt numFmtId="166" formatCode="[$£-809]#,##0.00"/>
    <numFmt numFmtId="167" formatCode="dd/MM/yyyy"/>
    <numFmt numFmtId="168" formatCode="dd&quot;/&quot;mm&quot;/&quot;yy"/>
    <numFmt numFmtId="169" formatCode="&quot;$&quot;#,##0"/>
  </numFmts>
  <fonts count="73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2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9.0"/>
      <color rgb="FF434343"/>
      <name val="Roboto"/>
    </font>
    <font>
      <b/>
      <sz val="24.0"/>
      <color rgb="FFF8F8F8"/>
      <name val="Roboto"/>
    </font>
    <font>
      <b/>
      <sz val="8.0"/>
      <name val="Roboto"/>
    </font>
    <font>
      <b/>
      <sz val="8.0"/>
      <color rgb="FF000000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sz val="9.0"/>
      <color rgb="FFB85B22"/>
      <name val="Roboto"/>
    </font>
    <font>
      <sz val="9.0"/>
      <color rgb="FF999999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7B7B7"/>
      <name val="Roboto"/>
    </font>
    <font>
      <sz val="11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  <font>
      <b/>
      <sz val="14.0"/>
      <color rgb="FF434343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351C75"/>
        <bgColor rgb="FF351C75"/>
      </patternFill>
    </fill>
  </fills>
  <borders count="83">
    <border/>
    <border>
      <bottom style="thin">
        <color rgb="FFB7B7B7"/>
      </bottom>
    </border>
    <border>
      <top style="thin">
        <color rgb="FFB7B7B7"/>
      </top>
    </border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D9D9D9"/>
      </lef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right style="hair">
        <color rgb="FFB7B7B7"/>
      </right>
      <top style="hair">
        <color rgb="FFCCCCCC"/>
      </top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0B5394"/>
      </bottom>
    </border>
    <border>
      <left style="hair">
        <color rgb="FFB7B7B7"/>
      </left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0B5394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999999"/>
      </right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hair">
        <color rgb="FFCCCCCC"/>
      </left>
      <right style="hair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999999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bottom style="medium">
        <color rgb="FF45818E"/>
      </bottom>
    </border>
    <border>
      <right style="thin">
        <color rgb="FF999999"/>
      </right>
      <bottom style="medium">
        <color rgb="FF45818E"/>
      </bottom>
    </border>
    <border>
      <right style="hair">
        <color rgb="FFCCCCCC"/>
      </right>
      <bottom style="medium">
        <color rgb="FF45818E"/>
      </bottom>
    </border>
    <border>
      <right style="hair">
        <color rgb="FFCCCCCC"/>
      </right>
    </border>
    <border>
      <left style="hair">
        <color rgb="FFCCCCCC"/>
      </left>
      <right style="thin">
        <color rgb="FF999999"/>
      </right>
    </border>
    <border>
      <left style="thin">
        <color rgb="FF999999"/>
      </left>
      <right style="hair">
        <color rgb="FFCCCCCC"/>
      </right>
    </border>
    <border>
      <left style="hair">
        <color rgb="FFCCCCCC"/>
      </left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right style="hair">
        <color rgb="FFB7B7B7"/>
      </right>
      <top style="hair">
        <color rgb="FFCCCCCC"/>
      </top>
      <bottom style="medium">
        <color rgb="FF38761D"/>
      </bottom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8761D"/>
      </bottom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B7B7B7"/>
      </left>
      <top style="hair">
        <color rgb="FFCCCCCC"/>
      </top>
      <bottom style="medium">
        <color rgb="FF38761D"/>
      </bottom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8761D"/>
      </bottom>
    </border>
    <border>
      <right style="hair">
        <color rgb="FFB7B7B7"/>
      </right>
      <bottom style="hair">
        <color rgb="FFCCCCCC"/>
      </bottom>
    </border>
    <border>
      <left style="hair">
        <color rgb="FFB7B7B7"/>
      </left>
      <right style="hair">
        <color rgb="FFB7B7B7"/>
      </right>
      <bottom style="hair">
        <color rgb="FFCCCCCC"/>
      </bottom>
    </border>
    <border>
      <left style="hair">
        <color rgb="FFB7B7B7"/>
      </left>
      <bottom style="hair">
        <color rgb="FFCCCCCC"/>
      </bottom>
    </border>
    <border>
      <left style="thin">
        <color rgb="FF999999"/>
      </left>
      <right style="hair">
        <color rgb="FFB7B7B7"/>
      </right>
      <bottom style="hair">
        <color rgb="FFCCCCCC"/>
      </bottom>
    </border>
    <border>
      <left style="hair">
        <color rgb="FFB7B7B7"/>
      </left>
      <right style="thin">
        <color rgb="FF999999"/>
      </right>
      <bottom style="hair">
        <color rgb="FFCCCCCC"/>
      </bottom>
    </border>
    <border>
      <bottom style="medium">
        <color rgb="FF351C75"/>
      </bottom>
    </border>
    <border>
      <right style="hair">
        <color rgb="FF999999"/>
      </right>
      <bottom style="medium">
        <color rgb="FF351C75"/>
      </bottom>
    </border>
    <border>
      <right style="hair">
        <color rgb="FFB7B7B7"/>
      </right>
      <top style="hair">
        <color rgb="FFCCCCCC"/>
      </top>
      <bottom style="medium">
        <color rgb="FF351C75"/>
      </bottom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51C75"/>
      </bottom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51C75"/>
      </bottom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51C75"/>
      </bottom>
    </border>
    <border>
      <top style="thin">
        <color rgb="FFCCCCCC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1" numFmtId="0" xfId="0" applyAlignment="1" applyFont="1">
      <alignment horizontal="right"/>
    </xf>
    <xf borderId="0" fillId="0" fontId="12" numFmtId="164" xfId="0" applyAlignment="1" applyFont="1" applyNumberFormat="1">
      <alignment horizontal="right" vertical="top"/>
    </xf>
    <xf borderId="0" fillId="0" fontId="13" numFmtId="0" xfId="0" applyAlignment="1" applyFont="1">
      <alignment horizontal="left" readingOrder="0" vertical="top"/>
    </xf>
    <xf borderId="0" fillId="0" fontId="14" numFmtId="165" xfId="0" applyAlignment="1" applyFont="1" applyNumberFormat="1">
      <alignment horizontal="right" readingOrder="0" vertical="top"/>
    </xf>
    <xf borderId="0" fillId="0" fontId="14" numFmtId="0" xfId="0" applyAlignment="1" applyFont="1">
      <alignment horizontal="left" readingOrder="0" vertical="top"/>
    </xf>
    <xf borderId="0" fillId="0" fontId="14" numFmtId="0" xfId="0" applyAlignment="1" applyFont="1">
      <alignment horizontal="right" readingOrder="0" vertical="top"/>
    </xf>
    <xf borderId="0" fillId="0" fontId="15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7" numFmtId="2" xfId="0" applyAlignment="1" applyFont="1" applyNumberFormat="1">
      <alignment horizontal="left" readingOrder="0" shrinkToFit="0" vertical="center" wrapText="1"/>
    </xf>
    <xf borderId="0" fillId="0" fontId="7" numFmtId="166" xfId="0" applyAlignment="1" applyFont="1" applyNumberFormat="1">
      <alignment horizontal="right" readingOrder="0" vertical="center"/>
    </xf>
    <xf borderId="0" fillId="0" fontId="16" numFmtId="166" xfId="0" applyAlignment="1" applyFont="1" applyNumberFormat="1">
      <alignment horizontal="right" readingOrder="0" shrinkToFit="0" vertical="center" wrapText="0"/>
    </xf>
    <xf borderId="0" fillId="0" fontId="2" numFmtId="0" xfId="0" applyAlignment="1" applyFont="1">
      <alignment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left" readingOrder="0" vertical="center"/>
    </xf>
    <xf borderId="0" fillId="0" fontId="2" numFmtId="166" xfId="0" applyAlignment="1" applyFont="1" applyNumberFormat="1">
      <alignment horizontal="right" vertical="center"/>
    </xf>
    <xf borderId="0" fillId="0" fontId="2" numFmtId="166" xfId="0" applyAlignment="1" applyFont="1" applyNumberFormat="1">
      <alignment horizontal="right" readingOrder="0" vertical="center"/>
    </xf>
    <xf borderId="0" fillId="0" fontId="17" numFmtId="0" xfId="0" applyAlignment="1" applyFont="1">
      <alignment vertical="bottom"/>
    </xf>
    <xf borderId="2" fillId="0" fontId="18" numFmtId="0" xfId="0" applyAlignment="1" applyBorder="1" applyFont="1">
      <alignment readingOrder="0" vertical="bottom"/>
    </xf>
    <xf borderId="2" fillId="0" fontId="17" numFmtId="2" xfId="0" applyAlignment="1" applyBorder="1" applyFont="1" applyNumberFormat="1">
      <alignment horizontal="right" vertical="bottom"/>
    </xf>
    <xf borderId="2" fillId="0" fontId="17" numFmtId="2" xfId="0" applyAlignment="1" applyBorder="1" applyFont="1" applyNumberFormat="1">
      <alignment horizontal="left" vertical="bottom"/>
    </xf>
    <xf borderId="2" fillId="0" fontId="17" numFmtId="166" xfId="0" applyAlignment="1" applyBorder="1" applyFont="1" applyNumberFormat="1">
      <alignment horizontal="right" vertical="bottom"/>
    </xf>
    <xf borderId="2" fillId="0" fontId="18" numFmtId="166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7" numFmtId="0" xfId="0" applyAlignment="1" applyFont="1">
      <alignment horizontal="left"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6" numFmtId="2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vertical="center"/>
    </xf>
    <xf borderId="0" fillId="0" fontId="17" numFmtId="2" xfId="0" applyAlignment="1" applyFont="1" applyNumberFormat="1">
      <alignment horizontal="right" vertical="bottom"/>
    </xf>
    <xf borderId="0" fillId="0" fontId="17" numFmtId="166" xfId="0" applyAlignment="1" applyFont="1" applyNumberFormat="1">
      <alignment horizontal="right" vertical="bottom"/>
    </xf>
    <xf borderId="0" fillId="0" fontId="18" numFmtId="166" xfId="0" applyAlignment="1" applyFont="1" applyNumberFormat="1">
      <alignment horizontal="right" vertical="bottom"/>
    </xf>
    <xf borderId="0" fillId="0" fontId="18" numFmtId="0" xfId="0" applyAlignment="1" applyFont="1">
      <alignment readingOrder="0" vertical="bottom"/>
    </xf>
    <xf borderId="0" fillId="0" fontId="20" numFmtId="0" xfId="0" applyAlignment="1" applyFont="1">
      <alignment vertical="center"/>
    </xf>
    <xf borderId="0" fillId="3" fontId="21" numFmtId="0" xfId="0" applyAlignment="1" applyFont="1">
      <alignment readingOrder="0" shrinkToFit="0" vertical="center" wrapText="0"/>
    </xf>
    <xf borderId="0" fillId="3" fontId="22" numFmtId="0" xfId="0" applyAlignment="1" applyFont="1">
      <alignment readingOrder="0" shrinkToFit="0" vertical="center" wrapText="0"/>
    </xf>
    <xf borderId="0" fillId="0" fontId="23" numFmtId="0" xfId="0" applyAlignment="1" applyFont="1">
      <alignment vertical="center"/>
    </xf>
    <xf borderId="0" fillId="3" fontId="22" numFmtId="0" xfId="0" applyAlignment="1" applyFont="1">
      <alignment horizontal="center" readingOrder="0" shrinkToFit="0" vertical="center" wrapText="0"/>
    </xf>
    <xf borderId="0" fillId="3" fontId="24" numFmtId="0" xfId="0" applyAlignment="1" applyFont="1">
      <alignment horizontal="center" shrinkToFit="0" vertical="center" wrapText="0"/>
    </xf>
    <xf borderId="0" fillId="3" fontId="24" numFmtId="0" xfId="0" applyAlignment="1" applyFont="1">
      <alignment readingOrder="0" shrinkToFit="0" vertical="center" wrapText="0"/>
    </xf>
    <xf borderId="0" fillId="0" fontId="24" numFmtId="0" xfId="0" applyAlignment="1" applyFont="1">
      <alignment horizontal="left" shrinkToFit="0" vertical="center" wrapText="0"/>
    </xf>
    <xf borderId="0" fillId="3" fontId="24" numFmtId="0" xfId="0" applyAlignment="1" applyFont="1">
      <alignment shrinkToFit="0" vertical="center" wrapText="0"/>
    </xf>
    <xf borderId="0" fillId="0" fontId="25" numFmtId="0" xfId="0" applyAlignment="1" applyFont="1">
      <alignment readingOrder="0" vertical="center"/>
    </xf>
    <xf borderId="3" fillId="3" fontId="26" numFmtId="0" xfId="0" applyAlignment="1" applyBorder="1" applyFont="1">
      <alignment readingOrder="0" shrinkToFit="0" vertical="center" wrapText="0"/>
    </xf>
    <xf borderId="3" fillId="0" fontId="27" numFmtId="0" xfId="0" applyBorder="1" applyFont="1"/>
    <xf borderId="3" fillId="3" fontId="28" numFmtId="0" xfId="0" applyAlignment="1" applyBorder="1" applyFont="1">
      <alignment readingOrder="0" shrinkToFit="0" vertical="center" wrapText="0"/>
    </xf>
    <xf borderId="3" fillId="3" fontId="29" numFmtId="0" xfId="0" applyAlignment="1" applyBorder="1" applyFont="1">
      <alignment readingOrder="0" shrinkToFit="0" vertical="center" wrapText="1"/>
    </xf>
    <xf borderId="0" fillId="0" fontId="29" numFmtId="0" xfId="0" applyAlignment="1" applyFont="1">
      <alignment readingOrder="0" shrinkToFit="0" vertical="center" wrapText="1"/>
    </xf>
    <xf borderId="0" fillId="3" fontId="29" numFmtId="0" xfId="0" applyAlignment="1" applyFont="1">
      <alignment readingOrder="0" shrinkToFit="0" vertical="center" wrapText="1"/>
    </xf>
    <xf borderId="0" fillId="3" fontId="30" numFmtId="0" xfId="0" applyAlignment="1" applyFont="1">
      <alignment readingOrder="0" shrinkToFit="0" vertical="center" wrapText="0"/>
    </xf>
    <xf borderId="0" fillId="0" fontId="31" numFmtId="0" xfId="0" applyAlignment="1" applyFont="1">
      <alignment horizontal="left" readingOrder="0" shrinkToFit="0" vertical="center" wrapText="0"/>
    </xf>
    <xf borderId="0" fillId="3" fontId="32" numFmtId="0" xfId="0" applyAlignment="1" applyFont="1">
      <alignment readingOrder="0" shrinkToFit="0" vertical="center" wrapText="0"/>
    </xf>
    <xf borderId="0" fillId="3" fontId="33" numFmtId="0" xfId="0" applyAlignment="1" applyFont="1">
      <alignment shrinkToFit="0" vertical="center" wrapText="0"/>
    </xf>
    <xf borderId="0" fillId="0" fontId="34" numFmtId="0" xfId="0" applyAlignment="1" applyFont="1">
      <alignment vertical="center"/>
    </xf>
    <xf borderId="4" fillId="0" fontId="16" numFmtId="0" xfId="0" applyAlignment="1" applyBorder="1" applyFont="1">
      <alignment horizontal="left" readingOrder="0" shrinkToFit="0" vertical="center" wrapText="0"/>
    </xf>
    <xf borderId="4" fillId="3" fontId="35" numFmtId="0" xfId="0" applyAlignment="1" applyBorder="1" applyFont="1">
      <alignment readingOrder="0" shrinkToFit="0" vertical="center" wrapText="0"/>
    </xf>
    <xf borderId="0" fillId="3" fontId="35" numFmtId="0" xfId="0" applyAlignment="1" applyFont="1">
      <alignment readingOrder="0" shrinkToFit="0" vertical="center" wrapText="0"/>
    </xf>
    <xf borderId="4" fillId="0" fontId="27" numFmtId="0" xfId="0" applyBorder="1" applyFont="1"/>
    <xf borderId="4" fillId="0" fontId="35" numFmtId="0" xfId="0" applyAlignment="1" applyBorder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0" fontId="23" numFmtId="0" xfId="0" applyFont="1"/>
    <xf borderId="4" fillId="0" fontId="35" numFmtId="0" xfId="0" applyAlignment="1" applyBorder="1" applyFont="1">
      <alignment readingOrder="0" shrinkToFit="0" vertical="center" wrapText="0"/>
    </xf>
    <xf borderId="0" fillId="0" fontId="35" numFmtId="0" xfId="0" applyAlignment="1" applyFont="1">
      <alignment readingOrder="0" shrinkToFit="0" vertical="center" wrapText="0"/>
    </xf>
    <xf borderId="4" fillId="0" fontId="35" numFmtId="167" xfId="0" applyAlignment="1" applyBorder="1" applyFont="1" applyNumberFormat="1">
      <alignment horizontal="left" readingOrder="0" vertical="center"/>
    </xf>
    <xf borderId="0" fillId="0" fontId="35" numFmtId="167" xfId="0" applyAlignment="1" applyFont="1" applyNumberFormat="1">
      <alignment horizontal="left" readingOrder="0" vertical="center"/>
    </xf>
    <xf borderId="0" fillId="0" fontId="35" numFmtId="0" xfId="0" applyFont="1"/>
    <xf borderId="0" fillId="0" fontId="36" numFmtId="0" xfId="0" applyAlignment="1" applyFont="1">
      <alignment vertical="center"/>
    </xf>
    <xf borderId="0" fillId="3" fontId="37" numFmtId="0" xfId="0" applyAlignment="1" applyFont="1">
      <alignment shrinkToFit="0" vertical="center" wrapText="0"/>
    </xf>
    <xf borderId="0" fillId="3" fontId="37" numFmtId="0" xfId="0" applyAlignment="1" applyFont="1">
      <alignment horizontal="center" shrinkToFit="0" vertical="center" wrapText="0"/>
    </xf>
    <xf borderId="0" fillId="0" fontId="37" numFmtId="0" xfId="0" applyAlignment="1" applyFont="1">
      <alignment shrinkToFit="0" vertical="center" wrapText="0"/>
    </xf>
    <xf borderId="0" fillId="4" fontId="38" numFmtId="0" xfId="0" applyAlignment="1" applyFill="1" applyFont="1">
      <alignment horizontal="center" readingOrder="0" shrinkToFit="0" vertical="center" wrapText="1"/>
    </xf>
    <xf borderId="0" fillId="4" fontId="38" numFmtId="0" xfId="0" applyAlignment="1" applyFont="1">
      <alignment horizontal="left" readingOrder="0" shrinkToFit="0" vertical="center" wrapText="1"/>
    </xf>
    <xf borderId="5" fillId="4" fontId="39" numFmtId="0" xfId="0" applyAlignment="1" applyBorder="1" applyFont="1">
      <alignment horizontal="center" readingOrder="0" shrinkToFit="0" vertical="center" wrapText="0"/>
    </xf>
    <xf borderId="6" fillId="0" fontId="27" numFmtId="0" xfId="0" applyBorder="1" applyFont="1"/>
    <xf borderId="6" fillId="4" fontId="40" numFmtId="0" xfId="0" applyAlignment="1" applyBorder="1" applyFont="1">
      <alignment horizontal="center" readingOrder="0" shrinkToFit="0" vertical="center" wrapText="0"/>
    </xf>
    <xf borderId="0" fillId="4" fontId="41" numFmtId="0" xfId="0" applyAlignment="1" applyFont="1">
      <alignment horizontal="center" readingOrder="0" shrinkToFit="0" textRotation="90" vertical="center" wrapText="0"/>
    </xf>
    <xf borderId="0" fillId="0" fontId="40" numFmtId="0" xfId="0" applyAlignment="1" applyFont="1">
      <alignment horizontal="center" readingOrder="0" shrinkToFit="0" vertical="center" wrapText="0"/>
    </xf>
    <xf borderId="0" fillId="0" fontId="39" numFmtId="0" xfId="0" applyAlignment="1" applyFont="1">
      <alignment horizontal="center" readingOrder="0" shrinkToFit="0" vertical="center" wrapText="0"/>
    </xf>
    <xf borderId="0" fillId="0" fontId="42" numFmtId="0" xfId="0" applyAlignment="1" applyFont="1">
      <alignment vertical="center"/>
    </xf>
    <xf borderId="0" fillId="5" fontId="43" numFmtId="0" xfId="0" applyAlignment="1" applyFill="1" applyFont="1">
      <alignment horizontal="center" readingOrder="0" shrinkToFit="0" vertical="center" wrapText="1"/>
    </xf>
    <xf borderId="0" fillId="5" fontId="43" numFmtId="0" xfId="0" applyAlignment="1" applyFont="1">
      <alignment horizontal="left" readingOrder="0" shrinkToFit="0" vertical="center" wrapText="1"/>
    </xf>
    <xf borderId="7" fillId="5" fontId="44" numFmtId="0" xfId="0" applyAlignment="1" applyBorder="1" applyFont="1">
      <alignment horizontal="center" readingOrder="0" shrinkToFit="0" vertical="center" wrapText="0"/>
    </xf>
    <xf borderId="8" fillId="5" fontId="44" numFmtId="0" xfId="0" applyAlignment="1" applyBorder="1" applyFont="1">
      <alignment horizontal="center" readingOrder="0" shrinkToFit="0" vertical="center" wrapText="0"/>
    </xf>
    <xf borderId="8" fillId="6" fontId="44" numFmtId="0" xfId="0" applyAlignment="1" applyBorder="1" applyFill="1" applyFont="1">
      <alignment horizontal="center" readingOrder="0" shrinkToFit="0" vertical="center" wrapText="0"/>
    </xf>
    <xf borderId="9" fillId="6" fontId="44" numFmtId="0" xfId="0" applyAlignment="1" applyBorder="1" applyFont="1">
      <alignment horizontal="center" readingOrder="0" shrinkToFit="0" vertical="center" wrapText="0"/>
    </xf>
    <xf borderId="7" fillId="7" fontId="44" numFmtId="0" xfId="0" applyAlignment="1" applyBorder="1" applyFill="1" applyFont="1">
      <alignment horizontal="center" readingOrder="0" shrinkToFit="0" vertical="center" wrapText="0"/>
    </xf>
    <xf borderId="8" fillId="7" fontId="44" numFmtId="0" xfId="0" applyAlignment="1" applyBorder="1" applyFont="1">
      <alignment horizontal="center" readingOrder="0" shrinkToFit="0" vertical="center" wrapText="0"/>
    </xf>
    <xf borderId="9" fillId="5" fontId="44" numFmtId="0" xfId="0" applyAlignment="1" applyBorder="1" applyFont="1">
      <alignment horizontal="center" readingOrder="0" shrinkToFit="0" vertical="center" wrapText="0"/>
    </xf>
    <xf borderId="6" fillId="5" fontId="44" numFmtId="0" xfId="0" applyAlignment="1" applyBorder="1" applyFont="1">
      <alignment horizontal="center" readingOrder="0" shrinkToFit="0" vertical="center" wrapText="0"/>
    </xf>
    <xf borderId="0" fillId="0" fontId="44" numFmtId="0" xfId="0" applyAlignment="1" applyFont="1">
      <alignment vertical="center"/>
    </xf>
    <xf borderId="0" fillId="5" fontId="45" numFmtId="0" xfId="0" applyAlignment="1" applyFont="1">
      <alignment horizontal="center" readingOrder="0" shrinkToFit="0" vertical="center" wrapText="1"/>
    </xf>
    <xf borderId="0" fillId="5" fontId="46" numFmtId="0" xfId="0" applyAlignment="1" applyFont="1">
      <alignment horizontal="left" readingOrder="0" shrinkToFit="0" vertical="center" wrapText="1"/>
    </xf>
    <xf borderId="0" fillId="5" fontId="45" numFmtId="0" xfId="0" applyAlignment="1" applyFont="1">
      <alignment horizontal="left" readingOrder="0" shrinkToFit="0" vertical="center" wrapText="1"/>
    </xf>
    <xf borderId="7" fillId="6" fontId="44" numFmtId="168" xfId="0" applyAlignment="1" applyBorder="1" applyFont="1" applyNumberFormat="1">
      <alignment horizontal="center" readingOrder="0" shrinkToFit="0" vertical="center" wrapText="0"/>
    </xf>
    <xf borderId="9" fillId="0" fontId="27" numFmtId="0" xfId="0" applyBorder="1" applyFont="1"/>
    <xf borderId="0" fillId="0" fontId="44" numFmtId="0" xfId="0" applyAlignment="1" applyFont="1">
      <alignment horizontal="center" readingOrder="0" shrinkToFit="0" vertical="center" wrapText="0"/>
    </xf>
    <xf borderId="0" fillId="0" fontId="47" numFmtId="0" xfId="0" applyAlignment="1" applyFont="1">
      <alignment vertical="center"/>
    </xf>
    <xf borderId="0" fillId="8" fontId="48" numFmtId="0" xfId="0" applyAlignment="1" applyFill="1" applyFont="1">
      <alignment horizontal="center" readingOrder="0" shrinkToFit="0" vertical="center" wrapText="0"/>
    </xf>
    <xf borderId="0" fillId="9" fontId="48" numFmtId="0" xfId="0" applyAlignment="1" applyFill="1" applyFont="1">
      <alignment horizontal="center" readingOrder="0" shrinkToFit="0" vertical="center" wrapText="0"/>
    </xf>
    <xf borderId="0" fillId="9" fontId="49" numFmtId="0" xfId="0" applyAlignment="1" applyFont="1">
      <alignment horizontal="left" readingOrder="0" shrinkToFit="0" vertical="center" wrapText="1"/>
    </xf>
    <xf borderId="0" fillId="9" fontId="50" numFmtId="0" xfId="0" applyAlignment="1" applyFont="1">
      <alignment horizontal="left" readingOrder="0" shrinkToFit="0" vertical="center" wrapText="1"/>
    </xf>
    <xf borderId="10" fillId="0" fontId="27" numFmtId="0" xfId="0" applyBorder="1" applyFont="1"/>
    <xf borderId="11" fillId="3" fontId="51" numFmtId="166" xfId="0" applyAlignment="1" applyBorder="1" applyFont="1" applyNumberFormat="1">
      <alignment horizontal="center" shrinkToFit="0" vertical="center" wrapText="0"/>
    </xf>
    <xf borderId="12" fillId="3" fontId="51" numFmtId="166" xfId="0" applyAlignment="1" applyBorder="1" applyFont="1" applyNumberFormat="1">
      <alignment horizontal="center" shrinkToFit="0" vertical="center" wrapText="0"/>
    </xf>
    <xf borderId="12" fillId="0" fontId="51" numFmtId="166" xfId="0" applyAlignment="1" applyBorder="1" applyFont="1" applyNumberFormat="1">
      <alignment horizontal="center" shrinkToFit="0" vertical="center" wrapText="0"/>
    </xf>
    <xf borderId="13" fillId="0" fontId="52" numFmtId="166" xfId="0" applyAlignment="1" applyBorder="1" applyFont="1" applyNumberFormat="1">
      <alignment horizontal="center" readingOrder="0" shrinkToFit="0" vertical="center" wrapText="0"/>
    </xf>
    <xf borderId="14" fillId="3" fontId="51" numFmtId="166" xfId="0" applyAlignment="1" applyBorder="1" applyFont="1" applyNumberFormat="1">
      <alignment horizontal="center" shrinkToFit="0" vertical="center" wrapText="0"/>
    </xf>
    <xf borderId="15" fillId="0" fontId="52" numFmtId="166" xfId="0" applyAlignment="1" applyBorder="1" applyFont="1" applyNumberFormat="1">
      <alignment horizontal="center" readingOrder="0" shrinkToFit="0" vertical="center" wrapText="0"/>
    </xf>
    <xf borderId="12" fillId="3" fontId="53" numFmtId="166" xfId="0" applyAlignment="1" applyBorder="1" applyFont="1" applyNumberFormat="1">
      <alignment horizontal="center" shrinkToFit="0" vertical="center" wrapText="0"/>
    </xf>
    <xf borderId="12" fillId="3" fontId="51" numFmtId="166" xfId="0" applyAlignment="1" applyBorder="1" applyFont="1" applyNumberFormat="1">
      <alignment horizontal="center" readingOrder="0" shrinkToFit="0" vertical="center" wrapText="0"/>
    </xf>
    <xf borderId="13" fillId="3" fontId="51" numFmtId="166" xfId="0" applyAlignment="1" applyBorder="1" applyFont="1" applyNumberFormat="1">
      <alignment horizontal="center" shrinkToFit="0" vertical="center" wrapText="0"/>
    </xf>
    <xf borderId="16" fillId="3" fontId="51" numFmtId="166" xfId="0" applyAlignment="1" applyBorder="1" applyFont="1" applyNumberFormat="1">
      <alignment horizontal="center" readingOrder="0" shrinkToFit="0" vertical="center" wrapText="0"/>
    </xf>
    <xf borderId="17" fillId="0" fontId="44" numFmtId="166" xfId="0" applyAlignment="1" applyBorder="1" applyFont="1" applyNumberFormat="1">
      <alignment horizontal="center" readingOrder="0" shrinkToFit="0" vertical="center" wrapText="0"/>
    </xf>
    <xf borderId="0" fillId="0" fontId="51" numFmtId="0" xfId="0" applyAlignment="1" applyFont="1">
      <alignment horizontal="left" shrinkToFit="0" vertical="center" wrapText="0"/>
    </xf>
    <xf borderId="18" fillId="0" fontId="54" numFmtId="0" xfId="0" applyAlignment="1" applyBorder="1" applyFont="1">
      <alignment horizontal="right" readingOrder="0" shrinkToFit="0" vertical="center" wrapText="0"/>
    </xf>
    <xf borderId="19" fillId="0" fontId="54" numFmtId="166" xfId="0" applyAlignment="1" applyBorder="1" applyFont="1" applyNumberFormat="1">
      <alignment horizontal="left" readingOrder="0" shrinkToFit="0" vertical="center" wrapText="0"/>
    </xf>
    <xf borderId="0" fillId="0" fontId="51" numFmtId="0" xfId="0" applyAlignment="1" applyFont="1">
      <alignment vertical="center"/>
    </xf>
    <xf borderId="16" fillId="3" fontId="51" numFmtId="166" xfId="0" applyAlignment="1" applyBorder="1" applyFont="1" applyNumberFormat="1">
      <alignment horizontal="center" shrinkToFit="0" vertical="center" wrapText="0"/>
    </xf>
    <xf borderId="20" fillId="0" fontId="54" numFmtId="0" xfId="0" applyAlignment="1" applyBorder="1" applyFont="1">
      <alignment horizontal="right" readingOrder="0" shrinkToFit="0" vertical="center" wrapText="0"/>
    </xf>
    <xf borderId="10" fillId="0" fontId="54" numFmtId="3" xfId="0" applyAlignment="1" applyBorder="1" applyFont="1" applyNumberFormat="1">
      <alignment horizontal="left" readingOrder="0" shrinkToFit="0" vertical="center" wrapText="0"/>
    </xf>
    <xf borderId="0" fillId="0" fontId="55" numFmtId="0" xfId="0" applyAlignment="1" applyFont="1">
      <alignment vertical="center"/>
    </xf>
    <xf borderId="21" fillId="9" fontId="48" numFmtId="0" xfId="0" applyAlignment="1" applyBorder="1" applyFont="1">
      <alignment horizontal="center" readingOrder="0" shrinkToFit="0" vertical="center" wrapText="0"/>
    </xf>
    <xf borderId="21" fillId="0" fontId="27" numFmtId="0" xfId="0" applyBorder="1" applyFont="1"/>
    <xf borderId="21" fillId="9" fontId="50" numFmtId="0" xfId="0" applyAlignment="1" applyBorder="1" applyFont="1">
      <alignment horizontal="left" readingOrder="0" shrinkToFit="0" vertical="center" wrapText="1"/>
    </xf>
    <xf borderId="22" fillId="0" fontId="27" numFmtId="0" xfId="0" applyBorder="1" applyFont="1"/>
    <xf borderId="23" fillId="10" fontId="51" numFmtId="166" xfId="0" applyAlignment="1" applyBorder="1" applyFill="1" applyFont="1" applyNumberFormat="1">
      <alignment horizontal="center" shrinkToFit="0" vertical="center" wrapText="0"/>
    </xf>
    <xf borderId="24" fillId="10" fontId="51" numFmtId="166" xfId="0" applyAlignment="1" applyBorder="1" applyFont="1" applyNumberFormat="1">
      <alignment horizontal="center" shrinkToFit="0" vertical="center" wrapText="0"/>
    </xf>
    <xf borderId="25" fillId="10" fontId="51" numFmtId="166" xfId="0" applyAlignment="1" applyBorder="1" applyFont="1" applyNumberFormat="1">
      <alignment horizontal="center" shrinkToFit="0" vertical="center" wrapText="0"/>
    </xf>
    <xf borderId="26" fillId="10" fontId="51" numFmtId="166" xfId="0" applyAlignment="1" applyBorder="1" applyFont="1" applyNumberFormat="1">
      <alignment horizontal="center" shrinkToFit="0" vertical="center" wrapText="0"/>
    </xf>
    <xf borderId="17" fillId="11" fontId="44" numFmtId="0" xfId="0" applyAlignment="1" applyBorder="1" applyFill="1" applyFont="1">
      <alignment horizontal="center" readingOrder="0" shrinkToFit="0" vertical="center" wrapText="0"/>
    </xf>
    <xf borderId="10" fillId="0" fontId="54" numFmtId="10" xfId="0" applyAlignment="1" applyBorder="1" applyFont="1" applyNumberFormat="1">
      <alignment horizontal="left" readingOrder="0" shrinkToFit="0" vertical="center" wrapText="0"/>
    </xf>
    <xf borderId="0" fillId="12" fontId="48" numFmtId="0" xfId="0" applyAlignment="1" applyFill="1" applyFont="1">
      <alignment horizontal="center" readingOrder="0" shrinkToFit="0" vertical="center" wrapText="0"/>
    </xf>
    <xf borderId="0" fillId="9" fontId="56" numFmtId="0" xfId="0" applyAlignment="1" applyFont="1">
      <alignment horizontal="left" readingOrder="0" shrinkToFit="0" vertical="center" wrapText="1"/>
    </xf>
    <xf borderId="0" fillId="9" fontId="57" numFmtId="0" xfId="0" applyAlignment="1" applyFont="1">
      <alignment horizontal="left" readingOrder="0" shrinkToFit="0" vertical="center" wrapText="1"/>
    </xf>
    <xf borderId="27" fillId="0" fontId="57" numFmtId="166" xfId="0" applyAlignment="1" applyBorder="1" applyFont="1" applyNumberFormat="1">
      <alignment horizontal="center" readingOrder="0" shrinkToFit="0" vertical="center" wrapText="0"/>
    </xf>
    <xf borderId="28" fillId="0" fontId="57" numFmtId="166" xfId="0" applyAlignment="1" applyBorder="1" applyFont="1" applyNumberFormat="1">
      <alignment horizontal="center" readingOrder="0" shrinkToFit="0" vertical="center" wrapText="0"/>
    </xf>
    <xf borderId="29" fillId="0" fontId="57" numFmtId="166" xfId="0" applyAlignment="1" applyBorder="1" applyFont="1" applyNumberFormat="1">
      <alignment horizontal="center" readingOrder="0" shrinkToFit="0" vertical="center" wrapText="0"/>
    </xf>
    <xf borderId="30" fillId="0" fontId="57" numFmtId="166" xfId="0" applyAlignment="1" applyBorder="1" applyFont="1" applyNumberFormat="1">
      <alignment horizontal="center" readingOrder="0" shrinkToFit="0" vertical="center" wrapText="0"/>
    </xf>
    <xf borderId="31" fillId="12" fontId="52" numFmtId="166" xfId="0" applyAlignment="1" applyBorder="1" applyFont="1" applyNumberFormat="1">
      <alignment horizontal="right" readingOrder="0" shrinkToFit="0" vertical="center" wrapText="0"/>
    </xf>
    <xf borderId="32" fillId="12" fontId="52" numFmtId="166" xfId="0" applyAlignment="1" applyBorder="1" applyFont="1" applyNumberFormat="1">
      <alignment horizontal="right" readingOrder="0" shrinkToFit="0" vertical="center" wrapText="0"/>
    </xf>
    <xf borderId="33" fillId="13" fontId="52" numFmtId="166" xfId="0" applyAlignment="1" applyBorder="1" applyFill="1" applyFont="1" applyNumberFormat="1">
      <alignment horizontal="right" readingOrder="0" shrinkToFit="0" vertical="center" wrapText="0"/>
    </xf>
    <xf borderId="33" fillId="12" fontId="52" numFmtId="166" xfId="0" applyAlignment="1" applyBorder="1" applyFont="1" applyNumberFormat="1">
      <alignment horizontal="right" readingOrder="0" shrinkToFit="0" vertical="center" wrapText="0"/>
    </xf>
    <xf borderId="34" fillId="13" fontId="52" numFmtId="166" xfId="0" applyAlignment="1" applyBorder="1" applyFont="1" applyNumberFormat="1">
      <alignment horizontal="right" readingOrder="0" shrinkToFit="0" vertical="center" wrapText="0"/>
    </xf>
    <xf borderId="29" fillId="13" fontId="52" numFmtId="166" xfId="0" applyAlignment="1" applyBorder="1" applyFont="1" applyNumberFormat="1">
      <alignment horizontal="right" readingOrder="0" shrinkToFit="0" vertical="center" wrapText="0"/>
    </xf>
    <xf borderId="35" fillId="12" fontId="52" numFmtId="166" xfId="0" applyAlignment="1" applyBorder="1" applyFont="1" applyNumberFormat="1">
      <alignment horizontal="right" readingOrder="0" shrinkToFit="0" vertical="center" wrapText="0"/>
    </xf>
    <xf borderId="28" fillId="12" fontId="52" numFmtId="166" xfId="0" applyAlignment="1" applyBorder="1" applyFont="1" applyNumberFormat="1">
      <alignment horizontal="right" readingOrder="0" shrinkToFit="0" vertical="center" wrapText="0"/>
    </xf>
    <xf borderId="32" fillId="13" fontId="52" numFmtId="166" xfId="0" applyAlignment="1" applyBorder="1" applyFont="1" applyNumberFormat="1">
      <alignment horizontal="right" readingOrder="0" shrinkToFit="0" vertical="center" wrapText="0"/>
    </xf>
    <xf borderId="36" fillId="12" fontId="52" numFmtId="166" xfId="0" applyAlignment="1" applyBorder="1" applyFont="1" applyNumberFormat="1">
      <alignment horizontal="right" readingOrder="0" shrinkToFit="0" vertical="center" wrapText="0"/>
    </xf>
    <xf borderId="37" fillId="0" fontId="54" numFmtId="0" xfId="0" applyAlignment="1" applyBorder="1" applyFont="1">
      <alignment horizontal="right" readingOrder="0" shrinkToFit="0" vertical="center" wrapText="0"/>
    </xf>
    <xf borderId="38" fillId="0" fontId="54" numFmtId="10" xfId="0" applyAlignment="1" applyBorder="1" applyFont="1" applyNumberFormat="1">
      <alignment horizontal="left" readingOrder="0" shrinkToFit="0" vertical="center" wrapText="0"/>
    </xf>
    <xf borderId="39" fillId="12" fontId="52" numFmtId="166" xfId="0" applyAlignment="1" applyBorder="1" applyFont="1" applyNumberFormat="1">
      <alignment horizontal="right" readingOrder="0" shrinkToFit="0" vertical="center" wrapText="0"/>
    </xf>
    <xf borderId="40" fillId="12" fontId="52" numFmtId="166" xfId="0" applyAlignment="1" applyBorder="1" applyFont="1" applyNumberFormat="1">
      <alignment horizontal="right" readingOrder="0" shrinkToFit="0" vertical="center" wrapText="0"/>
    </xf>
    <xf borderId="36" fillId="13" fontId="52" numFmtId="166" xfId="0" applyAlignment="1" applyBorder="1" applyFont="1" applyNumberFormat="1">
      <alignment horizontal="right" readingOrder="0" shrinkToFit="0" vertical="center" wrapText="0"/>
    </xf>
    <xf borderId="0" fillId="0" fontId="58" numFmtId="166" xfId="0" applyAlignment="1" applyFont="1" applyNumberFormat="1">
      <alignment horizontal="left" readingOrder="0" shrinkToFit="0" vertical="center" wrapText="0"/>
    </xf>
    <xf borderId="0" fillId="0" fontId="53" numFmtId="0" xfId="0" applyAlignment="1" applyFont="1">
      <alignment horizontal="left" shrinkToFit="0" vertical="center" wrapText="0"/>
    </xf>
    <xf borderId="0" fillId="0" fontId="59" numFmtId="0" xfId="0" applyAlignment="1" applyFont="1">
      <alignment vertical="center"/>
    </xf>
    <xf borderId="12" fillId="13" fontId="52" numFmtId="166" xfId="0" applyAlignment="1" applyBorder="1" applyFont="1" applyNumberFormat="1">
      <alignment horizontal="right" readingOrder="0" shrinkToFit="0" vertical="center" wrapText="0"/>
    </xf>
    <xf borderId="27" fillId="3" fontId="60" numFmtId="166" xfId="0" applyAlignment="1" applyBorder="1" applyFont="1" applyNumberFormat="1">
      <alignment horizontal="center" readingOrder="0" shrinkToFit="0" vertical="center" wrapText="0"/>
    </xf>
    <xf borderId="41" fillId="3" fontId="53" numFmtId="166" xfId="0" applyAlignment="1" applyBorder="1" applyFont="1" applyNumberFormat="1">
      <alignment horizontal="center" shrinkToFit="0" vertical="center" wrapText="0"/>
    </xf>
    <xf borderId="14" fillId="3" fontId="53" numFmtId="166" xfId="0" applyAlignment="1" applyBorder="1" applyFont="1" applyNumberFormat="1">
      <alignment horizontal="center" shrinkToFit="0" vertical="center" wrapText="0"/>
    </xf>
    <xf borderId="16" fillId="3" fontId="53" numFmtId="166" xfId="0" applyAlignment="1" applyBorder="1" applyFont="1" applyNumberFormat="1">
      <alignment horizontal="center" shrinkToFit="0" vertical="center" wrapText="0"/>
    </xf>
    <xf borderId="13" fillId="3" fontId="53" numFmtId="166" xfId="0" applyAlignment="1" applyBorder="1" applyFont="1" applyNumberFormat="1">
      <alignment horizontal="center" shrinkToFit="0" vertical="center" wrapText="0"/>
    </xf>
    <xf borderId="33" fillId="3" fontId="57" numFmtId="166" xfId="0" applyAlignment="1" applyBorder="1" applyFont="1" applyNumberFormat="1">
      <alignment horizontal="center" readingOrder="0" shrinkToFit="0" vertical="center" wrapText="0"/>
    </xf>
    <xf borderId="11" fillId="3" fontId="53" numFmtId="166" xfId="0" applyAlignment="1" applyBorder="1" applyFont="1" applyNumberFormat="1">
      <alignment horizontal="center" shrinkToFit="0" vertical="center" wrapText="0"/>
    </xf>
    <xf borderId="42" fillId="3" fontId="57" numFmtId="166" xfId="0" applyAlignment="1" applyBorder="1" applyFont="1" applyNumberFormat="1">
      <alignment horizontal="center" readingOrder="0" shrinkToFit="0" vertical="center" wrapText="0"/>
    </xf>
    <xf borderId="33" fillId="0" fontId="57" numFmtId="166" xfId="0" applyAlignment="1" applyBorder="1" applyFont="1" applyNumberFormat="1">
      <alignment horizontal="center" readingOrder="0" shrinkToFit="0" vertical="center" wrapText="0"/>
    </xf>
    <xf borderId="10" fillId="0" fontId="54" numFmtId="4" xfId="0" applyAlignment="1" applyBorder="1" applyFont="1" applyNumberFormat="1">
      <alignment horizontal="left" readingOrder="0" shrinkToFit="0" vertical="center" wrapText="0"/>
    </xf>
    <xf borderId="43" fillId="3" fontId="52" numFmtId="166" xfId="0" applyAlignment="1" applyBorder="1" applyFont="1" applyNumberFormat="1">
      <alignment horizontal="center" readingOrder="0" shrinkToFit="0" vertical="center" wrapText="0"/>
    </xf>
    <xf borderId="44" fillId="3" fontId="52" numFmtId="166" xfId="0" applyAlignment="1" applyBorder="1" applyFont="1" applyNumberFormat="1">
      <alignment horizontal="center" readingOrder="0" shrinkToFit="0" vertical="center" wrapText="0"/>
    </xf>
    <xf borderId="27" fillId="3" fontId="52" numFmtId="166" xfId="0" applyAlignment="1" applyBorder="1" applyFont="1" applyNumberFormat="1">
      <alignment horizontal="center" readingOrder="0" shrinkToFit="0" vertical="center" wrapText="0"/>
    </xf>
    <xf borderId="43" fillId="0" fontId="52" numFmtId="166" xfId="0" applyAlignment="1" applyBorder="1" applyFont="1" applyNumberFormat="1">
      <alignment horizontal="left" readingOrder="0" shrinkToFit="0" vertical="center" wrapText="0"/>
    </xf>
    <xf borderId="43" fillId="0" fontId="52" numFmtId="166" xfId="0" applyAlignment="1" applyBorder="1" applyFont="1" applyNumberFormat="1">
      <alignment horizontal="center" readingOrder="0" shrinkToFit="0" vertical="center" wrapText="0"/>
    </xf>
    <xf borderId="45" fillId="0" fontId="52" numFmtId="166" xfId="0" applyAlignment="1" applyBorder="1" applyFont="1" applyNumberFormat="1">
      <alignment horizontal="center" readingOrder="0" shrinkToFit="0" vertical="center" wrapText="0"/>
    </xf>
    <xf borderId="32" fillId="3" fontId="57" numFmtId="166" xfId="0" applyAlignment="1" applyBorder="1" applyFont="1" applyNumberFormat="1">
      <alignment horizontal="center" readingOrder="0" shrinkToFit="0" vertical="center" wrapText="0"/>
    </xf>
    <xf borderId="16" fillId="3" fontId="57" numFmtId="166" xfId="0" applyAlignment="1" applyBorder="1" applyFont="1" applyNumberFormat="1">
      <alignment horizontal="center" readingOrder="0" shrinkToFit="0" vertical="center" wrapText="0"/>
    </xf>
    <xf borderId="12" fillId="3" fontId="57" numFmtId="166" xfId="0" applyAlignment="1" applyBorder="1" applyFont="1" applyNumberFormat="1">
      <alignment horizontal="center" readingOrder="0" shrinkToFit="0" vertical="center" wrapText="0"/>
    </xf>
    <xf borderId="46" fillId="9" fontId="48" numFmtId="0" xfId="0" applyAlignment="1" applyBorder="1" applyFont="1">
      <alignment horizontal="center" readingOrder="0" shrinkToFit="0" vertical="center" wrapText="0"/>
    </xf>
    <xf borderId="46" fillId="0" fontId="27" numFmtId="0" xfId="0" applyBorder="1" applyFont="1"/>
    <xf borderId="46" fillId="9" fontId="57" numFmtId="0" xfId="0" applyAlignment="1" applyBorder="1" applyFont="1">
      <alignment horizontal="left" readingOrder="0" shrinkToFit="0" vertical="center" wrapText="1"/>
    </xf>
    <xf borderId="47" fillId="0" fontId="27" numFmtId="0" xfId="0" applyBorder="1" applyFont="1"/>
    <xf borderId="48" fillId="14" fontId="57" numFmtId="166" xfId="0" applyAlignment="1" applyBorder="1" applyFill="1" applyFont="1" applyNumberFormat="1">
      <alignment horizontal="center" readingOrder="0" shrinkToFit="0" vertical="center" wrapText="0"/>
    </xf>
    <xf borderId="47" fillId="14" fontId="57" numFmtId="166" xfId="0" applyAlignment="1" applyBorder="1" applyFont="1" applyNumberFormat="1">
      <alignment horizontal="center" readingOrder="0" shrinkToFit="0" vertical="center" wrapText="0"/>
    </xf>
    <xf borderId="10" fillId="0" fontId="54" numFmtId="166" xfId="0" applyAlignment="1" applyBorder="1" applyFont="1" applyNumberFormat="1">
      <alignment horizontal="left" readingOrder="0" shrinkToFit="0" vertical="center" wrapText="0"/>
    </xf>
    <xf borderId="0" fillId="15" fontId="48" numFmtId="0" xfId="0" applyAlignment="1" applyFill="1" applyFont="1">
      <alignment horizontal="center" readingOrder="0" shrinkToFit="0" vertical="center" wrapText="0"/>
    </xf>
    <xf borderId="0" fillId="9" fontId="61" numFmtId="0" xfId="0" applyAlignment="1" applyFont="1">
      <alignment horizontal="left" readingOrder="0" shrinkToFit="0" vertical="center" wrapText="1"/>
    </xf>
    <xf borderId="0" fillId="9" fontId="62" numFmtId="0" xfId="0" applyAlignment="1" applyFont="1">
      <alignment horizontal="left" readingOrder="0" shrinkToFit="0" vertical="center" wrapText="1"/>
    </xf>
    <xf borderId="49" fillId="3" fontId="60" numFmtId="166" xfId="0" applyAlignment="1" applyBorder="1" applyFont="1" applyNumberFormat="1">
      <alignment horizontal="center" shrinkToFit="0" vertical="center" wrapText="0"/>
    </xf>
    <xf borderId="41" fillId="3" fontId="60" numFmtId="166" xfId="0" applyAlignment="1" applyBorder="1" applyFont="1" applyNumberFormat="1">
      <alignment horizontal="center" shrinkToFit="0" vertical="center" wrapText="0"/>
    </xf>
    <xf borderId="50" fillId="3" fontId="60" numFmtId="166" xfId="0" applyAlignment="1" applyBorder="1" applyFont="1" applyNumberFormat="1">
      <alignment horizontal="center" shrinkToFit="0" vertical="center" wrapText="0"/>
    </xf>
    <xf borderId="51" fillId="3" fontId="60" numFmtId="166" xfId="0" applyAlignment="1" applyBorder="1" applyFont="1" applyNumberFormat="1">
      <alignment horizontal="center" shrinkToFit="0" vertical="center" wrapText="0"/>
    </xf>
    <xf borderId="52" fillId="3" fontId="60" numFmtId="166" xfId="0" applyAlignment="1" applyBorder="1" applyFont="1" applyNumberFormat="1">
      <alignment horizontal="center" shrinkToFit="0" vertical="center" wrapText="0"/>
    </xf>
    <xf borderId="38" fillId="0" fontId="54" numFmtId="166" xfId="0" applyAlignment="1" applyBorder="1" applyFont="1" applyNumberFormat="1">
      <alignment horizontal="left" readingOrder="0" shrinkToFit="0" vertical="center" wrapText="0"/>
    </xf>
    <xf borderId="11" fillId="3" fontId="60" numFmtId="166" xfId="0" applyAlignment="1" applyBorder="1" applyFont="1" applyNumberFormat="1">
      <alignment horizontal="center" shrinkToFit="0" vertical="center" wrapText="0"/>
    </xf>
    <xf borderId="12" fillId="3" fontId="60" numFmtId="166" xfId="0" applyAlignment="1" applyBorder="1" applyFont="1" applyNumberFormat="1">
      <alignment horizontal="center" shrinkToFit="0" vertical="center" wrapText="0"/>
    </xf>
    <xf borderId="14" fillId="3" fontId="60" numFmtId="166" xfId="0" applyAlignment="1" applyBorder="1" applyFont="1" applyNumberFormat="1">
      <alignment horizontal="center" shrinkToFit="0" vertical="center" wrapText="0"/>
    </xf>
    <xf borderId="16" fillId="3" fontId="60" numFmtId="166" xfId="0" applyAlignment="1" applyBorder="1" applyFont="1" applyNumberFormat="1">
      <alignment horizontal="center" shrinkToFit="0" vertical="center" wrapText="0"/>
    </xf>
    <xf borderId="13" fillId="3" fontId="60" numFmtId="166" xfId="0" applyAlignment="1" applyBorder="1" applyFont="1" applyNumberFormat="1">
      <alignment horizontal="center" shrinkToFit="0" vertical="center" wrapText="0"/>
    </xf>
    <xf borderId="0" fillId="0" fontId="60" numFmtId="0" xfId="0" applyAlignment="1" applyFont="1">
      <alignment horizontal="left" shrinkToFit="0" vertical="center" wrapText="0"/>
    </xf>
    <xf borderId="53" fillId="9" fontId="48" numFmtId="0" xfId="0" applyAlignment="1" applyBorder="1" applyFont="1">
      <alignment horizontal="center" readingOrder="0" shrinkToFit="0" vertical="center" wrapText="0"/>
    </xf>
    <xf borderId="53" fillId="0" fontId="27" numFmtId="0" xfId="0" applyBorder="1" applyFont="1"/>
    <xf borderId="53" fillId="9" fontId="62" numFmtId="0" xfId="0" applyAlignment="1" applyBorder="1" applyFont="1">
      <alignment horizontal="left" readingOrder="0" shrinkToFit="0" vertical="center" wrapText="1"/>
    </xf>
    <xf borderId="54" fillId="0" fontId="27" numFmtId="0" xfId="0" applyBorder="1" applyFont="1"/>
    <xf borderId="55" fillId="16" fontId="60" numFmtId="166" xfId="0" applyAlignment="1" applyBorder="1" applyFill="1" applyFont="1" applyNumberFormat="1">
      <alignment horizontal="center" shrinkToFit="0" vertical="center" wrapText="0"/>
    </xf>
    <xf borderId="56" fillId="16" fontId="60" numFmtId="166" xfId="0" applyAlignment="1" applyBorder="1" applyFont="1" applyNumberFormat="1">
      <alignment horizontal="center" shrinkToFit="0" vertical="center" wrapText="0"/>
    </xf>
    <xf borderId="57" fillId="16" fontId="60" numFmtId="166" xfId="0" applyAlignment="1" applyBorder="1" applyFont="1" applyNumberFormat="1">
      <alignment horizontal="center" shrinkToFit="0" vertical="center" wrapText="0"/>
    </xf>
    <xf borderId="58" fillId="16" fontId="60" numFmtId="166" xfId="0" applyAlignment="1" applyBorder="1" applyFont="1" applyNumberFormat="1">
      <alignment horizontal="center" shrinkToFit="0" vertical="center" wrapText="0"/>
    </xf>
    <xf borderId="59" fillId="16" fontId="60" numFmtId="166" xfId="0" applyAlignment="1" applyBorder="1" applyFont="1" applyNumberFormat="1">
      <alignment horizontal="center" shrinkToFit="0" vertical="center" wrapText="0"/>
    </xf>
    <xf borderId="0" fillId="17" fontId="48" numFmtId="0" xfId="0" applyAlignment="1" applyFill="1" applyFont="1">
      <alignment horizontal="center" readingOrder="0" shrinkToFit="0" vertical="center" wrapText="0"/>
    </xf>
    <xf borderId="0" fillId="9" fontId="63" numFmtId="0" xfId="0" applyAlignment="1" applyFont="1">
      <alignment horizontal="left" readingOrder="0" shrinkToFit="0" vertical="center" wrapText="1"/>
    </xf>
    <xf borderId="0" fillId="9" fontId="64" numFmtId="0" xfId="0" applyAlignment="1" applyFont="1">
      <alignment horizontal="left" readingOrder="0" shrinkToFit="0" vertical="center" wrapText="1"/>
    </xf>
    <xf borderId="60" fillId="3" fontId="60" numFmtId="166" xfId="0" applyAlignment="1" applyBorder="1" applyFont="1" applyNumberFormat="1">
      <alignment horizontal="center" shrinkToFit="0" vertical="center" wrapText="0"/>
    </xf>
    <xf borderId="61" fillId="3" fontId="60" numFmtId="166" xfId="0" applyAlignment="1" applyBorder="1" applyFont="1" applyNumberFormat="1">
      <alignment horizontal="center" shrinkToFit="0" vertical="center" wrapText="0"/>
    </xf>
    <xf borderId="62" fillId="3" fontId="60" numFmtId="166" xfId="0" applyAlignment="1" applyBorder="1" applyFont="1" applyNumberFormat="1">
      <alignment horizontal="center" shrinkToFit="0" vertical="center" wrapText="0"/>
    </xf>
    <xf borderId="63" fillId="3" fontId="60" numFmtId="166" xfId="0" applyAlignment="1" applyBorder="1" applyFont="1" applyNumberFormat="1">
      <alignment horizontal="center" shrinkToFit="0" vertical="center" wrapText="0"/>
    </xf>
    <xf borderId="64" fillId="3" fontId="60" numFmtId="166" xfId="0" applyAlignment="1" applyBorder="1" applyFont="1" applyNumberFormat="1">
      <alignment horizontal="center" shrinkToFit="0" vertical="center" wrapText="0"/>
    </xf>
    <xf borderId="0" fillId="0" fontId="41" numFmtId="0" xfId="0" applyAlignment="1" applyFont="1">
      <alignment horizontal="center" readingOrder="0" shrinkToFit="0" textRotation="90" vertical="center" wrapText="0"/>
    </xf>
    <xf borderId="8" fillId="0" fontId="27" numFmtId="0" xfId="0" applyBorder="1" applyFont="1"/>
    <xf borderId="65" fillId="9" fontId="48" numFmtId="0" xfId="0" applyAlignment="1" applyBorder="1" applyFont="1">
      <alignment horizontal="center" readingOrder="0" shrinkToFit="0" vertical="center" wrapText="0"/>
    </xf>
    <xf borderId="65" fillId="0" fontId="27" numFmtId="0" xfId="0" applyBorder="1" applyFont="1"/>
    <xf borderId="65" fillId="9" fontId="64" numFmtId="0" xfId="0" applyAlignment="1" applyBorder="1" applyFont="1">
      <alignment horizontal="left" readingOrder="0" shrinkToFit="0" vertical="center" wrapText="1"/>
    </xf>
    <xf borderId="66" fillId="0" fontId="27" numFmtId="0" xfId="0" applyBorder="1" applyFont="1"/>
    <xf borderId="67" fillId="3" fontId="60" numFmtId="166" xfId="0" applyAlignment="1" applyBorder="1" applyFont="1" applyNumberFormat="1">
      <alignment horizontal="center" shrinkToFit="0" vertical="center" wrapText="0"/>
    </xf>
    <xf borderId="68" fillId="3" fontId="60" numFmtId="166" xfId="0" applyAlignment="1" applyBorder="1" applyFont="1" applyNumberFormat="1">
      <alignment horizontal="center" shrinkToFit="0" vertical="center" wrapText="0"/>
    </xf>
    <xf borderId="69" fillId="3" fontId="60" numFmtId="166" xfId="0" applyAlignment="1" applyBorder="1" applyFont="1" applyNumberFormat="1">
      <alignment horizontal="center" shrinkToFit="0" vertical="center" wrapText="0"/>
    </xf>
    <xf borderId="70" fillId="3" fontId="60" numFmtId="166" xfId="0" applyAlignment="1" applyBorder="1" applyFont="1" applyNumberFormat="1">
      <alignment horizontal="center" shrinkToFit="0" vertical="center" wrapText="0"/>
    </xf>
    <xf borderId="0" fillId="0" fontId="48" numFmtId="0" xfId="0" applyAlignment="1" applyFont="1">
      <alignment horizontal="center" readingOrder="0" shrinkToFit="0" vertical="center" wrapText="0"/>
    </xf>
    <xf borderId="0" fillId="3" fontId="48" numFmtId="0" xfId="0" applyAlignment="1" applyFont="1">
      <alignment horizontal="center" readingOrder="0" shrinkToFit="0" vertical="center" wrapText="0"/>
    </xf>
    <xf borderId="0" fillId="3" fontId="63" numFmtId="0" xfId="0" applyAlignment="1" applyFont="1">
      <alignment horizontal="left" readingOrder="0" shrinkToFit="0" vertical="center" wrapText="1"/>
    </xf>
    <xf borderId="7" fillId="3" fontId="63" numFmtId="166" xfId="0" applyAlignment="1" applyBorder="1" applyFont="1" applyNumberFormat="1">
      <alignment horizontal="left" readingOrder="0" shrinkToFit="0" vertical="center" wrapText="1"/>
    </xf>
    <xf borderId="71" fillId="0" fontId="54" numFmtId="0" xfId="0" applyAlignment="1" applyBorder="1" applyFont="1">
      <alignment horizontal="right" readingOrder="0" shrinkToFit="0" vertical="center" wrapText="0"/>
    </xf>
    <xf borderId="71" fillId="0" fontId="54" numFmtId="3" xfId="0" applyAlignment="1" applyBorder="1" applyFont="1" applyNumberFormat="1">
      <alignment horizontal="left" readingOrder="0" shrinkToFit="0" vertical="center" wrapText="0"/>
    </xf>
    <xf borderId="0" fillId="0" fontId="54" numFmtId="0" xfId="0" applyAlignment="1" applyFont="1">
      <alignment horizontal="right" readingOrder="0" shrinkToFit="0" vertical="center" wrapText="0"/>
    </xf>
    <xf borderId="0" fillId="0" fontId="54" numFmtId="166" xfId="0" applyAlignment="1" applyFont="1" applyNumberFormat="1">
      <alignment horizontal="left" readingOrder="0" shrinkToFit="0" vertical="center" wrapText="0"/>
    </xf>
    <xf borderId="0" fillId="0" fontId="36" numFmtId="0" xfId="0" applyAlignment="1" applyFont="1">
      <alignment horizontal="center" vertical="center"/>
    </xf>
    <xf borderId="0" fillId="0" fontId="65" numFmtId="0" xfId="0" applyAlignment="1" applyFont="1">
      <alignment horizontal="center" shrinkToFit="0" vertical="center" wrapText="0"/>
    </xf>
    <xf borderId="0" fillId="2" fontId="2" numFmtId="0" xfId="0" applyFont="1"/>
    <xf borderId="0" fillId="2" fontId="2" numFmtId="0" xfId="0" applyAlignment="1" applyFont="1">
      <alignment horizontal="left" vertical="center"/>
    </xf>
    <xf borderId="72" fillId="0" fontId="2" numFmtId="0" xfId="0" applyBorder="1" applyFont="1"/>
    <xf borderId="72" fillId="0" fontId="2" numFmtId="0" xfId="0" applyAlignment="1" applyBorder="1" applyFont="1">
      <alignment horizontal="left" vertical="center"/>
    </xf>
    <xf borderId="72" fillId="0" fontId="2" numFmtId="0" xfId="0" applyAlignment="1" applyBorder="1" applyFont="1">
      <alignment vertical="bottom"/>
    </xf>
    <xf borderId="73" fillId="0" fontId="66" numFmtId="0" xfId="0" applyAlignment="1" applyBorder="1" applyFont="1">
      <alignment readingOrder="0" vertical="bottom"/>
    </xf>
    <xf borderId="74" fillId="0" fontId="27" numFmtId="0" xfId="0" applyBorder="1" applyFont="1"/>
    <xf borderId="73" fillId="0" fontId="67" numFmtId="0" xfId="0" applyAlignment="1" applyBorder="1" applyFont="1">
      <alignment horizontal="right" readingOrder="0" shrinkToFit="0" vertical="center" wrapText="1"/>
    </xf>
    <xf borderId="75" fillId="0" fontId="27" numFmtId="0" xfId="0" applyBorder="1" applyFont="1"/>
    <xf borderId="72" fillId="0" fontId="68" numFmtId="0" xfId="0" applyAlignment="1" applyBorder="1" applyFont="1">
      <alignment readingOrder="0"/>
    </xf>
    <xf borderId="72" fillId="0" fontId="69" numFmtId="0" xfId="0" applyAlignment="1" applyBorder="1" applyFont="1">
      <alignment vertical="center"/>
    </xf>
    <xf borderId="76" fillId="0" fontId="69" numFmtId="0" xfId="0" applyAlignment="1" applyBorder="1" applyFont="1">
      <alignment vertical="center"/>
    </xf>
    <xf borderId="77" fillId="0" fontId="69" numFmtId="0" xfId="0" applyAlignment="1" applyBorder="1" applyFont="1">
      <alignment vertical="center"/>
    </xf>
    <xf borderId="78" fillId="0" fontId="69" numFmtId="0" xfId="0" applyAlignment="1" applyBorder="1" applyFont="1">
      <alignment vertical="center"/>
    </xf>
    <xf borderId="72" fillId="0" fontId="70" numFmtId="0" xfId="0" applyAlignment="1" applyBorder="1" applyFont="1">
      <alignment vertical="center"/>
    </xf>
    <xf borderId="79" fillId="0" fontId="70" numFmtId="0" xfId="0" applyAlignment="1" applyBorder="1" applyFont="1">
      <alignment vertical="center"/>
    </xf>
    <xf borderId="79" fillId="0" fontId="71" numFmtId="0" xfId="0" applyAlignment="1" applyBorder="1" applyFont="1">
      <alignment vertical="center"/>
    </xf>
    <xf borderId="72" fillId="0" fontId="70" numFmtId="0" xfId="0" applyBorder="1" applyFont="1"/>
    <xf borderId="72" fillId="0" fontId="72" numFmtId="0" xfId="0" applyAlignment="1" applyBorder="1" applyFont="1">
      <alignment horizontal="left" readingOrder="0" vertical="center"/>
    </xf>
    <xf borderId="0" fillId="0" fontId="70" numFmtId="0" xfId="0" applyFont="1"/>
    <xf borderId="72" fillId="0" fontId="71" numFmtId="0" xfId="0" applyAlignment="1" applyBorder="1" applyFont="1">
      <alignment horizontal="left" vertical="center"/>
    </xf>
    <xf borderId="72" fillId="0" fontId="70" numFmtId="166" xfId="0" applyAlignment="1" applyBorder="1" applyFont="1" applyNumberFormat="1">
      <alignment horizontal="left" vertical="center"/>
    </xf>
    <xf borderId="72" fillId="0" fontId="70" numFmtId="0" xfId="0" applyAlignment="1" applyBorder="1" applyFont="1">
      <alignment horizontal="left" vertical="center"/>
    </xf>
    <xf borderId="72" fillId="0" fontId="70" numFmtId="0" xfId="0" applyAlignment="1" applyBorder="1" applyFont="1">
      <alignment horizontal="left"/>
    </xf>
    <xf borderId="72" fillId="0" fontId="71" numFmtId="0" xfId="0" applyAlignment="1" applyBorder="1" applyFont="1">
      <alignment horizontal="left" readingOrder="0" vertical="center"/>
    </xf>
    <xf borderId="72" fillId="0" fontId="71" numFmtId="0" xfId="0" applyBorder="1" applyFont="1"/>
    <xf borderId="72" fillId="0" fontId="70" numFmtId="14" xfId="0" applyAlignment="1" applyBorder="1" applyFont="1" applyNumberFormat="1">
      <alignment readingOrder="0"/>
    </xf>
    <xf borderId="72" fillId="0" fontId="70" numFmtId="169" xfId="0" applyAlignment="1" applyBorder="1" applyFont="1" applyNumberFormat="1">
      <alignment readingOrder="0"/>
    </xf>
    <xf borderId="80" fillId="0" fontId="70" numFmtId="0" xfId="0" applyBorder="1" applyFont="1"/>
    <xf borderId="81" fillId="0" fontId="70" numFmtId="0" xfId="0" applyBorder="1" applyFont="1"/>
    <xf borderId="81" fillId="0" fontId="71" numFmtId="0" xfId="0" applyAlignment="1" applyBorder="1" applyFont="1">
      <alignment horizontal="left" vertical="center"/>
    </xf>
    <xf borderId="82" fillId="0" fontId="70" numFmtId="0" xfId="0" applyAlignment="1" applyBorder="1" applyFont="1">
      <alignment horizontal="left" vertical="center"/>
    </xf>
    <xf borderId="76" fillId="0" fontId="69" numFmtId="0" xfId="0" applyAlignment="1" applyBorder="1" applyFont="1">
      <alignment readingOrder="0" vertical="center"/>
    </xf>
    <xf borderId="79" fillId="0" fontId="70" numFmtId="0" xfId="0" applyBorder="1" applyFont="1"/>
    <xf borderId="79" fillId="0" fontId="70" numFmtId="0" xfId="0" applyAlignment="1" applyBorder="1" applyFont="1">
      <alignment horizontal="left" vertical="center"/>
    </xf>
    <xf borderId="79" fillId="0" fontId="71" numFmtId="0" xfId="0" applyAlignment="1" applyBorder="1" applyFont="1">
      <alignment horizontal="left"/>
    </xf>
    <xf borderId="79" fillId="0" fontId="70" numFmtId="0" xfId="0" applyAlignment="1" applyBorder="1" applyFont="1">
      <alignment horizontal="left"/>
    </xf>
    <xf borderId="72" fillId="0" fontId="71" numFmtId="0" xfId="0" applyAlignment="1" applyBorder="1" applyFont="1">
      <alignment horizontal="left" readingOrder="0"/>
    </xf>
    <xf borderId="72" fillId="0" fontId="70" numFmtId="0" xfId="0" applyAlignment="1" applyBorder="1" applyFont="1">
      <alignment horizontal="left" readingOrder="0"/>
    </xf>
    <xf borderId="72" fillId="0" fontId="70" numFmtId="166" xfId="0" applyAlignment="1" applyBorder="1" applyFont="1" applyNumberFormat="1">
      <alignment horizontal="left"/>
    </xf>
    <xf borderId="72" fillId="0" fontId="71" numFmtId="0" xfId="0" applyAlignment="1" applyBorder="1" applyFont="1">
      <alignment horizontal="left"/>
    </xf>
    <xf borderId="72" fillId="0" fontId="70" numFmtId="2" xfId="0" applyAlignment="1" applyBorder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2">
    <tableStyle count="2" pivot="0" name="Financial Summary Report-style">
      <tableStyleElement dxfId="1" type="firstRowStripe"/>
      <tableStyleElement dxfId="2" type="secondRowStripe"/>
    </tableStyle>
    <tableStyle count="2" pivot="0" name="Financial Summary Repor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Stats!$F$12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(Stats!$G$12,Stats!$F$13:$G$13,Stats!$F$14:$G$14,Stats!$F$15:$G$15,Stats!$F$16:$G$16,Stats!$F$17:$G$17)</c:f>
              <c:numCache/>
            </c:numRef>
          </c:val>
        </c:ser>
        <c:overlap val="100"/>
        <c:axId val="1887315639"/>
        <c:axId val="1403379855"/>
      </c:barChart>
      <c:catAx>
        <c:axId val="18873156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Cost</a:t>
                </a:r>
              </a:p>
            </c:rich>
          </c:tx>
          <c:layout>
            <c:manualLayout>
              <c:xMode val="edge"/>
              <c:yMode val="edge"/>
              <c:x val="0.02663461538461539"/>
              <c:y val="0.191613588110403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3379855"/>
      </c:catAx>
      <c:valAx>
        <c:axId val="14033798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7315639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val>
            <c:numRef>
              <c:f>(Stats!$G$8,Stats!$F$9:$G$9)</c:f>
              <c:numCache/>
            </c:numRef>
          </c:val>
        </c:ser>
        <c:overlap val="100"/>
        <c:axId val="357346465"/>
        <c:axId val="544055315"/>
      </c:barChart>
      <c:catAx>
        <c:axId val="3573464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0.024928568347540307"/>
              <c:y val="0.1368958202350138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544055315"/>
      </c:catAx>
      <c:valAx>
        <c:axId val="544055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35734646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12</xdr:row>
      <xdr:rowOff>95250</xdr:rowOff>
    </xdr:from>
    <xdr:ext cx="4953000" cy="1495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6</xdr:row>
      <xdr:rowOff>114300</xdr:rowOff>
    </xdr:from>
    <xdr:ext cx="4953000" cy="1419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6:H1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inancial Summary Report-style" showColumnStripes="0" showFirstColumn="1" showLastColumn="1" showRowStripes="1"/>
</table>
</file>

<file path=xl/tables/table2.xml><?xml version="1.0" encoding="utf-8"?>
<table xmlns="http://schemas.openxmlformats.org/spreadsheetml/2006/main" headerRowCount="0" ref="B22:H2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inancial Summary Report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4.13"/>
    <col customWidth="1" min="3" max="3" width="9.13"/>
    <col customWidth="1" min="4" max="4" width="21.13"/>
    <col customWidth="1" min="5" max="7" width="10.13"/>
    <col customWidth="1" min="8" max="8" width="11.13"/>
    <col customWidth="1" min="9" max="9" width="6.13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C3" s="11"/>
      <c r="D3" s="11"/>
      <c r="E3" s="9"/>
      <c r="F3" s="12"/>
      <c r="G3" s="12"/>
      <c r="H3" s="13"/>
      <c r="I3" s="14"/>
    </row>
    <row r="4">
      <c r="A4" s="15"/>
      <c r="B4" s="16"/>
      <c r="E4" s="15"/>
      <c r="F4" s="15"/>
      <c r="G4" s="15"/>
      <c r="H4" s="17"/>
      <c r="I4" s="18"/>
    </row>
    <row r="5">
      <c r="A5" s="15"/>
      <c r="B5" s="19"/>
      <c r="E5" s="15"/>
      <c r="F5" s="15"/>
      <c r="G5" s="15"/>
      <c r="H5" s="17"/>
      <c r="I5" s="18"/>
    </row>
    <row r="6">
      <c r="A6" s="20"/>
      <c r="B6" s="21"/>
      <c r="E6" s="20"/>
      <c r="F6" s="20"/>
      <c r="G6" s="20"/>
      <c r="H6" s="22"/>
      <c r="I6" s="22"/>
    </row>
    <row r="7" ht="18.0" customHeight="1">
      <c r="A7" s="23"/>
      <c r="B7" s="15"/>
      <c r="C7" s="15"/>
      <c r="D7" s="15"/>
      <c r="E7" s="15"/>
      <c r="F7" s="15"/>
      <c r="G7" s="15"/>
      <c r="H7" s="17"/>
      <c r="I7" s="24"/>
    </row>
    <row r="8" ht="19.5" customHeight="1">
      <c r="A8" s="25"/>
      <c r="B8" s="26" t="s">
        <v>1</v>
      </c>
      <c r="F8" s="27"/>
      <c r="G8" s="27"/>
      <c r="H8" s="27"/>
      <c r="I8" s="25"/>
    </row>
    <row r="9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/>
      <c r="D10" s="30" t="s">
        <v>2</v>
      </c>
      <c r="G10" s="30" t="s">
        <v>3</v>
      </c>
      <c r="I10" s="31"/>
    </row>
    <row r="11" ht="18.0" customHeight="1">
      <c r="A11" s="20"/>
      <c r="B11" s="32"/>
      <c r="D11" s="33" t="s">
        <v>4</v>
      </c>
      <c r="G11" s="34">
        <v>44710.0</v>
      </c>
      <c r="I11" s="34"/>
    </row>
    <row r="12">
      <c r="A12" s="15"/>
      <c r="B12" s="35"/>
      <c r="C12" s="36"/>
      <c r="D12" s="35"/>
      <c r="E12" s="36"/>
      <c r="F12" s="35"/>
      <c r="G12" s="35"/>
      <c r="H12" s="35"/>
      <c r="I12" s="15"/>
    </row>
    <row r="13">
      <c r="A13" s="37"/>
      <c r="B13" s="38"/>
      <c r="C13" s="38"/>
      <c r="D13" s="38"/>
      <c r="E13" s="37"/>
      <c r="F13" s="38"/>
      <c r="G13" s="38"/>
      <c r="H13" s="38"/>
      <c r="I13" s="37"/>
    </row>
    <row r="14" ht="19.5" customHeight="1">
      <c r="A14" s="39"/>
      <c r="B14" s="40"/>
      <c r="C14" s="41"/>
      <c r="D14" s="41"/>
      <c r="E14" s="41"/>
      <c r="F14" s="41"/>
      <c r="G14" s="41"/>
      <c r="H14" s="13"/>
      <c r="I14" s="39"/>
    </row>
    <row r="15" ht="24.0" customHeight="1">
      <c r="A15" s="42"/>
      <c r="B15" s="43" t="s">
        <v>5</v>
      </c>
      <c r="C15" s="44"/>
      <c r="D15" s="45" t="s">
        <v>6</v>
      </c>
      <c r="E15" s="46" t="s">
        <v>7</v>
      </c>
      <c r="F15" s="46" t="s">
        <v>8</v>
      </c>
      <c r="G15" s="46" t="s">
        <v>9</v>
      </c>
      <c r="H15" s="46" t="s">
        <v>10</v>
      </c>
      <c r="I15" s="42"/>
    </row>
    <row r="16" ht="21.0" customHeight="1">
      <c r="A16" s="20"/>
      <c r="B16" s="47" t="s">
        <v>11</v>
      </c>
      <c r="C16" s="48"/>
      <c r="D16" s="49" t="s">
        <v>12</v>
      </c>
      <c r="E16" s="50">
        <f>SUM('Financial Report'!I12:W12)</f>
        <v>0</v>
      </c>
      <c r="F16" s="50">
        <f>SUM('Financial Report'!X12:AK12)</f>
        <v>1500</v>
      </c>
      <c r="G16" s="50">
        <f>SUM('Financial Report'!AL12:AU12)</f>
        <v>4500</v>
      </c>
      <c r="H16" s="51">
        <f t="shared" ref="H16:H17" si="1">sum(C16:G16)</f>
        <v>6000</v>
      </c>
      <c r="I16" s="20"/>
    </row>
    <row r="17" ht="21.0" customHeight="1">
      <c r="A17" s="22"/>
      <c r="B17" s="47" t="s">
        <v>13</v>
      </c>
      <c r="C17" s="48"/>
      <c r="D17" s="49" t="s">
        <v>14</v>
      </c>
      <c r="E17" s="50">
        <f>SUM('Financial Report'!I11:W11)</f>
        <v>0</v>
      </c>
      <c r="F17" s="50">
        <f>SUM('Financial Report'!X11:AK11)</f>
        <v>0</v>
      </c>
      <c r="G17" s="50">
        <f>SUM('Financial Report'!AL11:AU11)</f>
        <v>42500</v>
      </c>
      <c r="H17" s="51">
        <f t="shared" si="1"/>
        <v>42500</v>
      </c>
      <c r="I17" s="22"/>
    </row>
    <row r="18" ht="21.75" hidden="1" customHeight="1">
      <c r="A18" s="28"/>
      <c r="B18" s="52"/>
      <c r="C18" s="53"/>
      <c r="D18" s="54"/>
      <c r="E18" s="55"/>
      <c r="F18" s="55"/>
      <c r="G18" s="55"/>
      <c r="H18" s="56"/>
      <c r="I18" s="28"/>
    </row>
    <row r="19" ht="21.0" customHeight="1">
      <c r="A19" s="57"/>
      <c r="B19" s="58"/>
      <c r="C19" s="59"/>
      <c r="D19" s="60"/>
      <c r="E19" s="61">
        <f t="shared" ref="E19:H19" si="2">sum(E16:E18)</f>
        <v>0</v>
      </c>
      <c r="F19" s="61">
        <f t="shared" si="2"/>
        <v>1500</v>
      </c>
      <c r="G19" s="61">
        <f t="shared" si="2"/>
        <v>47000</v>
      </c>
      <c r="H19" s="62">
        <f t="shared" si="2"/>
        <v>48500</v>
      </c>
      <c r="I19" s="57"/>
    </row>
    <row r="20" ht="21.0" customHeight="1">
      <c r="A20" s="57"/>
      <c r="B20" s="63"/>
      <c r="C20" s="57"/>
      <c r="D20" s="64"/>
      <c r="E20" s="57"/>
      <c r="F20" s="65"/>
      <c r="G20" s="65"/>
      <c r="H20" s="66"/>
      <c r="I20" s="57"/>
    </row>
    <row r="21" ht="21.0" customHeight="1">
      <c r="A21" s="57"/>
      <c r="B21" s="43" t="s">
        <v>15</v>
      </c>
      <c r="C21" s="44"/>
      <c r="D21" s="45" t="s">
        <v>6</v>
      </c>
      <c r="E21" s="46" t="s">
        <v>7</v>
      </c>
      <c r="F21" s="46" t="s">
        <v>8</v>
      </c>
      <c r="G21" s="46" t="s">
        <v>9</v>
      </c>
      <c r="H21" s="46" t="s">
        <v>10</v>
      </c>
      <c r="I21" s="57"/>
    </row>
    <row r="22" ht="21.0" customHeight="1">
      <c r="A22" s="57"/>
      <c r="B22" s="47" t="s">
        <v>16</v>
      </c>
      <c r="C22" s="48"/>
      <c r="D22" s="49" t="s">
        <v>17</v>
      </c>
      <c r="E22" s="50">
        <f>SUM('Financial Report'!I14:W14)</f>
        <v>862.5</v>
      </c>
      <c r="F22" s="50">
        <f>SUM('Financial Report'!X14:AK14)</f>
        <v>3196.875</v>
      </c>
      <c r="G22" s="50">
        <f>SUM('Financial Report'!AL14:AU14)</f>
        <v>4300</v>
      </c>
      <c r="H22" s="51">
        <f t="shared" ref="H22:H28" si="3">sum(C22:G22)</f>
        <v>8359.375</v>
      </c>
      <c r="I22" s="57"/>
    </row>
    <row r="23">
      <c r="A23" s="67"/>
      <c r="B23" s="47" t="s">
        <v>18</v>
      </c>
      <c r="C23" s="48"/>
      <c r="D23" s="49" t="s">
        <v>19</v>
      </c>
      <c r="E23" s="50">
        <f>SUM('Financial Report'!I15:W15)</f>
        <v>6326.923077</v>
      </c>
      <c r="F23" s="50">
        <f>SUM('Financial Report'!X15:AK15)</f>
        <v>9490.384615</v>
      </c>
      <c r="G23" s="50">
        <f>SUM('Financial Report'!AL15:AU15)</f>
        <v>8857.692308</v>
      </c>
      <c r="H23" s="51">
        <f t="shared" si="3"/>
        <v>24675</v>
      </c>
      <c r="I23" s="67"/>
    </row>
    <row r="24" ht="19.5" customHeight="1">
      <c r="A24" s="28"/>
      <c r="B24" s="47" t="s">
        <v>20</v>
      </c>
      <c r="C24" s="48"/>
      <c r="D24" s="49" t="s">
        <v>21</v>
      </c>
      <c r="E24" s="50">
        <f>SUM('Financial Report'!I16:W16)</f>
        <v>1000</v>
      </c>
      <c r="F24" s="50">
        <f>SUM('Financial Report'!X16:AK16)</f>
        <v>1500</v>
      </c>
      <c r="G24" s="50">
        <f>SUM('Financial Report'!AL16:AU16)</f>
        <v>1400</v>
      </c>
      <c r="H24" s="51">
        <f t="shared" si="3"/>
        <v>3900</v>
      </c>
      <c r="I24" s="28"/>
    </row>
    <row r="25" ht="19.5" customHeight="1">
      <c r="A25" s="28"/>
      <c r="B25" s="47" t="s">
        <v>22</v>
      </c>
      <c r="C25" s="48"/>
      <c r="D25" s="49" t="s">
        <v>23</v>
      </c>
      <c r="E25" s="50">
        <f>SUM('Financial Report'!I17:W17)</f>
        <v>500</v>
      </c>
      <c r="F25" s="50">
        <f>SUM('Financial Report'!X17:AK17)</f>
        <v>750</v>
      </c>
      <c r="G25" s="50">
        <f>SUM('Financial Report'!AL17:AU17)</f>
        <v>700</v>
      </c>
      <c r="H25" s="51">
        <f t="shared" si="3"/>
        <v>1950</v>
      </c>
      <c r="I25" s="28"/>
    </row>
    <row r="26" ht="19.5" customHeight="1">
      <c r="A26" s="28"/>
      <c r="B26" s="47" t="s">
        <v>24</v>
      </c>
      <c r="C26" s="48"/>
      <c r="D26" s="49" t="s">
        <v>25</v>
      </c>
      <c r="E26" s="50">
        <f>SUM('Financial Report'!I18:W18)</f>
        <v>0</v>
      </c>
      <c r="F26" s="50">
        <f>SUM('Financial Report'!X18:AK18)</f>
        <v>1500</v>
      </c>
      <c r="G26" s="50">
        <f>SUM('Financial Report'!AL18:AU18)</f>
        <v>2250</v>
      </c>
      <c r="H26" s="51">
        <f t="shared" si="3"/>
        <v>3750</v>
      </c>
      <c r="I26" s="28"/>
    </row>
    <row r="27" ht="19.5" customHeight="1">
      <c r="A27" s="28"/>
      <c r="B27" s="47" t="s">
        <v>26</v>
      </c>
      <c r="C27" s="48"/>
      <c r="D27" s="49" t="s">
        <v>27</v>
      </c>
      <c r="E27" s="50">
        <f>SUM('Financial Report'!I19:W19)</f>
        <v>0</v>
      </c>
      <c r="F27" s="50">
        <f>SUM('Financial Report'!X19:AK19)</f>
        <v>750</v>
      </c>
      <c r="G27" s="50">
        <f>SUM('Financial Report'!AL19:AU19)</f>
        <v>530.7777778</v>
      </c>
      <c r="H27" s="51">
        <f t="shared" si="3"/>
        <v>1280.777778</v>
      </c>
      <c r="I27" s="28"/>
    </row>
    <row r="28" ht="19.5" customHeight="1">
      <c r="A28" s="28"/>
      <c r="B28" s="58"/>
      <c r="C28" s="59"/>
      <c r="D28" s="59"/>
      <c r="E28" s="61">
        <f t="shared" ref="E28:G28" si="4">SUM(E22:E27)</f>
        <v>8689.423077</v>
      </c>
      <c r="F28" s="61">
        <f t="shared" si="4"/>
        <v>17187.25962</v>
      </c>
      <c r="G28" s="61">
        <f t="shared" si="4"/>
        <v>18038.47009</v>
      </c>
      <c r="H28" s="62">
        <f t="shared" si="3"/>
        <v>43915.15278</v>
      </c>
      <c r="I28" s="28"/>
    </row>
    <row r="29" ht="19.5" customHeight="1">
      <c r="A29" s="28"/>
      <c r="B29" s="43"/>
      <c r="C29" s="68"/>
      <c r="D29" s="68"/>
      <c r="E29" s="69"/>
      <c r="F29" s="69"/>
      <c r="G29" s="69"/>
      <c r="H29" s="70"/>
      <c r="I29" s="28"/>
    </row>
    <row r="30" ht="19.5" customHeight="1">
      <c r="A30" s="28"/>
      <c r="B30" s="43" t="s">
        <v>28</v>
      </c>
      <c r="C30" s="68"/>
      <c r="D30" s="68"/>
      <c r="E30" s="69">
        <f t="shared" ref="E30:H30" si="5">E19-E28</f>
        <v>-8689.423077</v>
      </c>
      <c r="F30" s="69">
        <f t="shared" si="5"/>
        <v>-15687.25962</v>
      </c>
      <c r="G30" s="69">
        <f t="shared" si="5"/>
        <v>28961.52991</v>
      </c>
      <c r="H30" s="70">
        <f t="shared" si="5"/>
        <v>4584.847222</v>
      </c>
      <c r="I30" s="28"/>
    </row>
    <row r="31" ht="19.5" customHeight="1">
      <c r="A31" s="28"/>
      <c r="B31" s="71"/>
      <c r="C31" s="68"/>
      <c r="D31" s="68"/>
      <c r="E31" s="69"/>
      <c r="F31" s="69"/>
      <c r="G31" s="69"/>
      <c r="H31" s="70"/>
      <c r="I31" s="28"/>
    </row>
    <row r="32" ht="19.5" customHeight="1">
      <c r="A32" s="28"/>
      <c r="B32" s="71"/>
      <c r="C32" s="68"/>
      <c r="D32" s="68"/>
      <c r="E32" s="69"/>
      <c r="F32" s="69"/>
      <c r="G32" s="69"/>
      <c r="H32" s="70"/>
      <c r="I32" s="28"/>
    </row>
    <row r="33" ht="19.5" customHeight="1">
      <c r="A33" s="28"/>
      <c r="B33" s="71"/>
      <c r="C33" s="68"/>
      <c r="D33" s="68"/>
      <c r="E33" s="69"/>
      <c r="F33" s="69"/>
      <c r="G33" s="69"/>
      <c r="H33" s="70"/>
      <c r="I33" s="28"/>
    </row>
    <row r="34" ht="19.5" customHeight="1">
      <c r="A34" s="28"/>
      <c r="B34" s="71"/>
      <c r="C34" s="68"/>
      <c r="D34" s="68"/>
      <c r="E34" s="69"/>
      <c r="F34" s="69"/>
      <c r="G34" s="69"/>
      <c r="H34" s="70"/>
      <c r="I34" s="28"/>
    </row>
  </sheetData>
  <mergeCells count="10">
    <mergeCell ref="B11:C11"/>
    <mergeCell ref="D11:F11"/>
    <mergeCell ref="G11:H11"/>
    <mergeCell ref="B4:D4"/>
    <mergeCell ref="B5:D5"/>
    <mergeCell ref="B6:D6"/>
    <mergeCell ref="B8:E8"/>
    <mergeCell ref="B10:C10"/>
    <mergeCell ref="D10:F10"/>
    <mergeCell ref="G10:H10"/>
  </mergeCells>
  <printOptions gridLines="1" horizontalCentered="1" verticalCentered="1"/>
  <pageMargins bottom="0.75" footer="0.0" header="0.0" left="0.7" right="0.7" top="0.75"/>
  <pageSetup fitToHeight="0" paperSize="9" cellComments="atEnd" orientation="portrait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.25"/>
    <col customWidth="1" min="2" max="2" width="11.13"/>
    <col customWidth="1" min="3" max="3" width="1.5"/>
    <col customWidth="1" min="4" max="4" width="17.25"/>
    <col customWidth="1" min="5" max="5" width="12.13"/>
    <col customWidth="1" min="6" max="6" width="0.38"/>
    <col customWidth="1" min="7" max="7" width="10.5"/>
    <col customWidth="1" min="8" max="8" width="13.0"/>
    <col customWidth="1" min="9" max="47" width="9.5"/>
    <col customWidth="1" min="48" max="48" width="10.63"/>
    <col customWidth="1" min="49" max="49" width="10.13"/>
    <col customWidth="1" min="50" max="50" width="8.5"/>
    <col customWidth="1" min="51" max="51" width="22.88"/>
    <col customWidth="1" min="52" max="52" width="8.5"/>
    <col customWidth="1" min="53" max="64" width="3.38"/>
  </cols>
  <sheetData>
    <row r="1" ht="21.0" customHeight="1">
      <c r="A1" s="72"/>
      <c r="B1" s="73"/>
      <c r="C1" s="73"/>
      <c r="D1" s="74"/>
      <c r="E1" s="74"/>
      <c r="F1" s="74"/>
      <c r="G1" s="75"/>
      <c r="H1" s="75"/>
      <c r="I1" s="76"/>
      <c r="J1" s="77"/>
      <c r="K1" s="78"/>
      <c r="L1" s="79"/>
      <c r="M1" s="78"/>
      <c r="N1" s="80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81"/>
      <c r="AE1" s="81"/>
      <c r="AF1" s="81"/>
      <c r="AG1" s="81"/>
      <c r="AH1" s="81"/>
      <c r="AI1" s="81"/>
      <c r="AJ1" s="81"/>
      <c r="AK1" s="81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</row>
    <row r="2" ht="21.0" customHeight="1">
      <c r="A2" s="72"/>
      <c r="B2" s="82" t="s">
        <v>29</v>
      </c>
      <c r="C2" s="83"/>
      <c r="D2" s="83"/>
      <c r="E2" s="83"/>
      <c r="F2" s="83"/>
      <c r="G2" s="82"/>
      <c r="H2" s="82"/>
      <c r="I2" s="84"/>
      <c r="J2" s="83"/>
      <c r="K2" s="83"/>
      <c r="L2" s="83"/>
      <c r="M2" s="83"/>
      <c r="N2" s="83"/>
      <c r="O2" s="85"/>
      <c r="P2" s="85"/>
      <c r="Q2" s="85"/>
      <c r="R2" s="85"/>
      <c r="S2" s="85"/>
      <c r="T2" s="85"/>
      <c r="U2" s="86"/>
      <c r="V2" s="86"/>
      <c r="W2" s="86"/>
      <c r="X2" s="86"/>
      <c r="Y2" s="86"/>
      <c r="Z2" s="86"/>
      <c r="AA2" s="86"/>
      <c r="AB2" s="86"/>
      <c r="AC2" s="87"/>
      <c r="AD2" s="87"/>
      <c r="AE2" s="87"/>
      <c r="AF2" s="87"/>
      <c r="AG2" s="88"/>
      <c r="AH2" s="88"/>
      <c r="AI2" s="88"/>
      <c r="AJ2" s="88"/>
      <c r="AK2" s="88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</row>
    <row r="3" ht="21.0" customHeight="1">
      <c r="A3" s="72"/>
      <c r="B3" s="89"/>
      <c r="C3" s="89"/>
      <c r="D3" s="89"/>
      <c r="E3" s="90"/>
      <c r="F3" s="90"/>
      <c r="G3" s="90"/>
      <c r="H3" s="90"/>
      <c r="I3" s="91"/>
      <c r="J3" s="91"/>
      <c r="K3" s="91"/>
      <c r="L3" s="91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72"/>
      <c r="AD3" s="81"/>
      <c r="AE3" s="81"/>
      <c r="AF3" s="81"/>
      <c r="AG3" s="81"/>
      <c r="AH3" s="81"/>
      <c r="AI3" s="81"/>
      <c r="AJ3" s="81"/>
      <c r="AK3" s="81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</row>
    <row r="4" ht="21.0" customHeight="1">
      <c r="A4" s="72"/>
      <c r="B4" s="93" t="s">
        <v>30</v>
      </c>
      <c r="C4" s="93"/>
      <c r="D4" s="94"/>
      <c r="E4" s="94" t="s">
        <v>0</v>
      </c>
      <c r="F4" s="94"/>
      <c r="G4" s="94"/>
      <c r="H4" s="95"/>
      <c r="I4" s="93" t="s">
        <v>31</v>
      </c>
      <c r="J4" s="96"/>
      <c r="K4" s="96"/>
      <c r="L4" s="96"/>
      <c r="M4" s="96"/>
      <c r="N4" s="96"/>
      <c r="O4" s="96"/>
      <c r="P4" s="97" t="s">
        <v>32</v>
      </c>
      <c r="Q4" s="96"/>
      <c r="R4" s="96"/>
      <c r="S4" s="96"/>
      <c r="T4" s="96"/>
      <c r="U4" s="98"/>
      <c r="V4" s="98"/>
      <c r="W4" s="98"/>
      <c r="X4" s="98"/>
      <c r="Y4" s="98"/>
      <c r="Z4" s="98"/>
      <c r="AA4" s="98"/>
      <c r="AB4" s="98"/>
      <c r="AC4" s="99"/>
      <c r="AD4" s="81"/>
      <c r="AE4" s="81"/>
      <c r="AF4" s="81"/>
      <c r="AG4" s="81"/>
      <c r="AH4" s="81"/>
      <c r="AI4" s="81"/>
      <c r="AJ4" s="81"/>
      <c r="AK4" s="81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</row>
    <row r="5" ht="21.0" customHeight="1">
      <c r="A5" s="72"/>
      <c r="B5" s="93" t="s">
        <v>33</v>
      </c>
      <c r="C5" s="93"/>
      <c r="D5" s="100"/>
      <c r="E5" s="100" t="s">
        <v>34</v>
      </c>
      <c r="F5" s="100"/>
      <c r="G5" s="100"/>
      <c r="H5" s="101"/>
      <c r="I5" s="93" t="s">
        <v>35</v>
      </c>
      <c r="J5" s="96"/>
      <c r="K5" s="96"/>
      <c r="L5" s="96"/>
      <c r="M5" s="96"/>
      <c r="N5" s="96"/>
      <c r="O5" s="96"/>
      <c r="P5" s="102">
        <v>44710.0</v>
      </c>
      <c r="Q5" s="96"/>
      <c r="R5" s="96"/>
      <c r="S5" s="96"/>
      <c r="T5" s="96"/>
      <c r="U5" s="103"/>
      <c r="V5" s="103"/>
      <c r="W5" s="103"/>
      <c r="X5" s="103"/>
      <c r="Y5" s="103"/>
      <c r="Z5" s="103"/>
      <c r="AA5" s="103"/>
      <c r="AB5" s="104"/>
      <c r="AC5" s="99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ht="21.0" customHeight="1">
      <c r="A6" s="105"/>
      <c r="B6" s="106"/>
      <c r="C6" s="106"/>
      <c r="D6" s="106"/>
      <c r="E6" s="106"/>
      <c r="F6" s="106"/>
      <c r="G6" s="106"/>
      <c r="H6" s="107"/>
      <c r="I6" s="106"/>
      <c r="J6" s="106"/>
      <c r="K6" s="106"/>
      <c r="L6" s="106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</row>
    <row r="7" ht="21.0" customHeight="1">
      <c r="A7" s="105"/>
      <c r="B7" s="106"/>
      <c r="C7" s="106"/>
      <c r="D7" s="106"/>
      <c r="E7" s="106"/>
      <c r="F7" s="106"/>
      <c r="G7" s="106"/>
      <c r="H7" s="107"/>
      <c r="I7" s="106"/>
      <c r="J7" s="106"/>
      <c r="K7" s="106"/>
      <c r="L7" s="106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</row>
    <row r="8" ht="21.0" customHeight="1">
      <c r="A8" s="108"/>
      <c r="B8" s="109" t="s">
        <v>36</v>
      </c>
      <c r="C8" s="109"/>
      <c r="D8" s="110"/>
      <c r="E8" s="110"/>
      <c r="F8" s="110"/>
      <c r="G8" s="110" t="s">
        <v>37</v>
      </c>
      <c r="H8" s="110"/>
      <c r="I8" s="111" t="s">
        <v>7</v>
      </c>
      <c r="W8" s="112"/>
      <c r="X8" s="111" t="s">
        <v>8</v>
      </c>
      <c r="AK8" s="112"/>
      <c r="AL8" s="111" t="s">
        <v>9</v>
      </c>
      <c r="AU8" s="112"/>
      <c r="AV8" s="113"/>
      <c r="AW8" s="114" t="s">
        <v>38</v>
      </c>
      <c r="AX8" s="115"/>
      <c r="AY8" s="115"/>
      <c r="AZ8" s="115"/>
      <c r="BA8" s="116"/>
      <c r="BB8" s="116"/>
      <c r="BC8" s="116"/>
      <c r="BD8" s="116"/>
      <c r="BE8" s="116"/>
      <c r="BF8" s="105"/>
      <c r="BG8" s="105"/>
      <c r="BH8" s="105"/>
      <c r="BI8" s="105"/>
      <c r="BJ8" s="105"/>
      <c r="BK8" s="105"/>
      <c r="BL8" s="105"/>
    </row>
    <row r="9" ht="21.0" customHeight="1">
      <c r="A9" s="117"/>
      <c r="B9" s="118"/>
      <c r="C9" s="118"/>
      <c r="D9" s="119"/>
      <c r="E9" s="119"/>
      <c r="F9" s="119"/>
      <c r="G9" s="118" t="s">
        <v>39</v>
      </c>
      <c r="I9" s="120">
        <v>1.0</v>
      </c>
      <c r="J9" s="121">
        <v>2.0</v>
      </c>
      <c r="K9" s="121">
        <v>3.0</v>
      </c>
      <c r="L9" s="121">
        <v>4.0</v>
      </c>
      <c r="M9" s="121">
        <v>5.0</v>
      </c>
      <c r="N9" s="121">
        <v>6.0</v>
      </c>
      <c r="O9" s="121">
        <v>7.0</v>
      </c>
      <c r="P9" s="121">
        <v>8.0</v>
      </c>
      <c r="Q9" s="121">
        <v>9.0</v>
      </c>
      <c r="R9" s="121">
        <v>10.0</v>
      </c>
      <c r="S9" s="122">
        <v>11.0</v>
      </c>
      <c r="T9" s="122">
        <v>12.0</v>
      </c>
      <c r="U9" s="122">
        <v>13.0</v>
      </c>
      <c r="V9" s="122">
        <v>14.0</v>
      </c>
      <c r="W9" s="123">
        <v>15.0</v>
      </c>
      <c r="X9" s="120">
        <v>1.0</v>
      </c>
      <c r="Y9" s="121">
        <v>2.0</v>
      </c>
      <c r="Z9" s="121">
        <v>3.0</v>
      </c>
      <c r="AA9" s="121">
        <v>4.0</v>
      </c>
      <c r="AB9" s="121">
        <v>5.0</v>
      </c>
      <c r="AC9" s="121">
        <v>6.0</v>
      </c>
      <c r="AD9" s="121">
        <v>7.0</v>
      </c>
      <c r="AE9" s="121">
        <v>8.0</v>
      </c>
      <c r="AF9" s="121">
        <v>9.0</v>
      </c>
      <c r="AG9" s="121">
        <v>10.0</v>
      </c>
      <c r="AH9" s="122">
        <v>11.0</v>
      </c>
      <c r="AI9" s="122">
        <v>12.0</v>
      </c>
      <c r="AJ9" s="122">
        <v>13.0</v>
      </c>
      <c r="AK9" s="122">
        <v>14.0</v>
      </c>
      <c r="AL9" s="124">
        <v>1.0</v>
      </c>
      <c r="AM9" s="125">
        <v>2.0</v>
      </c>
      <c r="AN9" s="125">
        <v>3.0</v>
      </c>
      <c r="AO9" s="125">
        <v>4.0</v>
      </c>
      <c r="AP9" s="125">
        <v>5.0</v>
      </c>
      <c r="AQ9" s="121">
        <v>6.0</v>
      </c>
      <c r="AR9" s="121">
        <v>7.0</v>
      </c>
      <c r="AS9" s="121">
        <v>8.0</v>
      </c>
      <c r="AT9" s="121">
        <v>9.0</v>
      </c>
      <c r="AU9" s="126">
        <v>10.0</v>
      </c>
      <c r="AV9" s="127" t="s">
        <v>40</v>
      </c>
      <c r="BA9" s="115"/>
      <c r="BF9" s="105"/>
      <c r="BG9" s="105"/>
      <c r="BH9" s="105"/>
      <c r="BI9" s="105"/>
      <c r="BJ9" s="105"/>
      <c r="BK9" s="105"/>
      <c r="BL9" s="117"/>
    </row>
    <row r="10" ht="21.0" customHeight="1">
      <c r="A10" s="128"/>
      <c r="B10" s="129"/>
      <c r="C10" s="129"/>
      <c r="D10" s="130" t="s">
        <v>41</v>
      </c>
      <c r="E10" s="131"/>
      <c r="F10" s="131"/>
      <c r="G10" s="129" t="s">
        <v>42</v>
      </c>
      <c r="I10" s="132">
        <v>44466.0</v>
      </c>
      <c r="J10" s="132">
        <v>44473.0</v>
      </c>
      <c r="K10" s="132">
        <v>44480.0</v>
      </c>
      <c r="L10" s="132">
        <v>44487.0</v>
      </c>
      <c r="M10" s="132">
        <v>44494.0</v>
      </c>
      <c r="N10" s="132">
        <v>44501.0</v>
      </c>
      <c r="O10" s="132">
        <v>44508.0</v>
      </c>
      <c r="P10" s="132">
        <v>44515.0</v>
      </c>
      <c r="Q10" s="132">
        <v>44522.0</v>
      </c>
      <c r="R10" s="132">
        <v>44529.0</v>
      </c>
      <c r="S10" s="132">
        <v>44536.0</v>
      </c>
      <c r="T10" s="132">
        <v>44543.0</v>
      </c>
      <c r="U10" s="132">
        <v>44550.0</v>
      </c>
      <c r="V10" s="132">
        <v>44557.0</v>
      </c>
      <c r="W10" s="132">
        <v>44564.0</v>
      </c>
      <c r="X10" s="132">
        <v>44571.0</v>
      </c>
      <c r="Y10" s="132">
        <v>44578.0</v>
      </c>
      <c r="Z10" s="132">
        <v>44585.0</v>
      </c>
      <c r="AA10" s="132">
        <v>44592.0</v>
      </c>
      <c r="AB10" s="132">
        <v>44599.0</v>
      </c>
      <c r="AC10" s="132">
        <v>44606.0</v>
      </c>
      <c r="AD10" s="132">
        <v>44613.0</v>
      </c>
      <c r="AE10" s="132">
        <v>44620.0</v>
      </c>
      <c r="AF10" s="132">
        <v>44627.0</v>
      </c>
      <c r="AG10" s="132">
        <v>44634.0</v>
      </c>
      <c r="AH10" s="132">
        <v>44641.0</v>
      </c>
      <c r="AI10" s="132">
        <v>44648.0</v>
      </c>
      <c r="AJ10" s="132">
        <v>44655.0</v>
      </c>
      <c r="AK10" s="132">
        <v>44662.0</v>
      </c>
      <c r="AL10" s="132">
        <v>44669.0</v>
      </c>
      <c r="AM10" s="132">
        <v>44676.0</v>
      </c>
      <c r="AN10" s="132">
        <v>44683.0</v>
      </c>
      <c r="AO10" s="132">
        <v>44690.0</v>
      </c>
      <c r="AP10" s="132">
        <v>44697.0</v>
      </c>
      <c r="AQ10" s="132">
        <v>44704.0</v>
      </c>
      <c r="AR10" s="132">
        <v>44711.0</v>
      </c>
      <c r="AS10" s="132">
        <v>44718.0</v>
      </c>
      <c r="AT10" s="132">
        <v>44725.0</v>
      </c>
      <c r="AU10" s="132">
        <v>44732.0</v>
      </c>
      <c r="AV10" s="133"/>
      <c r="AX10" s="134"/>
      <c r="AY10" s="134"/>
      <c r="AZ10" s="134"/>
      <c r="BA10" s="134"/>
      <c r="BB10" s="134"/>
      <c r="BC10" s="134"/>
      <c r="BD10" s="134"/>
      <c r="BE10" s="134"/>
      <c r="BF10" s="105"/>
      <c r="BG10" s="105"/>
      <c r="BH10" s="105"/>
      <c r="BI10" s="105"/>
      <c r="BJ10" s="105"/>
      <c r="BK10" s="105"/>
      <c r="BL10" s="128"/>
    </row>
    <row r="11" ht="21.0" customHeight="1">
      <c r="A11" s="135"/>
      <c r="B11" s="136">
        <v>1.0</v>
      </c>
      <c r="C11" s="137"/>
      <c r="D11" s="138" t="s">
        <v>5</v>
      </c>
      <c r="G11" s="139" t="s">
        <v>43</v>
      </c>
      <c r="H11" s="140"/>
      <c r="I11" s="141"/>
      <c r="J11" s="142"/>
      <c r="K11" s="143"/>
      <c r="L11" s="143"/>
      <c r="M11" s="143"/>
      <c r="N11" s="143"/>
      <c r="O11" s="143"/>
      <c r="P11" s="143"/>
      <c r="Q11" s="143"/>
      <c r="R11" s="143"/>
      <c r="S11" s="143"/>
      <c r="T11" s="144"/>
      <c r="U11" s="144"/>
      <c r="V11" s="144"/>
      <c r="W11" s="145"/>
      <c r="X11" s="146"/>
      <c r="Y11" s="147"/>
      <c r="Z11" s="147"/>
      <c r="AA11" s="147"/>
      <c r="AB11" s="147"/>
      <c r="AC11" s="142"/>
      <c r="AD11" s="142"/>
      <c r="AE11" s="142"/>
      <c r="AF11" s="142"/>
      <c r="AG11" s="148"/>
      <c r="AH11" s="142"/>
      <c r="AI11" s="142"/>
      <c r="AJ11" s="142"/>
      <c r="AK11" s="149"/>
      <c r="AL11" s="150">
        <f>AZ22*AZ24</f>
        <v>17000</v>
      </c>
      <c r="AM11" s="142"/>
      <c r="AN11" s="142"/>
      <c r="AO11" s="142">
        <f>AZ22*AZ23</f>
        <v>25500</v>
      </c>
      <c r="AP11" s="142"/>
      <c r="AQ11" s="142"/>
      <c r="AR11" s="142"/>
      <c r="AS11" s="142"/>
      <c r="AT11" s="142"/>
      <c r="AU11" s="145"/>
      <c r="AV11" s="151">
        <f t="shared" ref="AV11:AV12" si="1">SUM(I11:AU11)</f>
        <v>42500</v>
      </c>
      <c r="AX11" s="152"/>
      <c r="AY11" s="153" t="s">
        <v>44</v>
      </c>
      <c r="AZ11" s="154">
        <v>3000.0</v>
      </c>
      <c r="BA11" s="152"/>
      <c r="BB11" s="152"/>
      <c r="BC11" s="152"/>
      <c r="BD11" s="152"/>
      <c r="BE11" s="152"/>
      <c r="BF11" s="105"/>
      <c r="BG11" s="105"/>
      <c r="BH11" s="105"/>
      <c r="BI11" s="105"/>
      <c r="BJ11" s="105"/>
      <c r="BK11" s="105"/>
      <c r="BL11" s="155"/>
    </row>
    <row r="12" ht="21.0" customHeight="1">
      <c r="A12" s="105"/>
      <c r="C12" s="137"/>
      <c r="G12" s="139" t="s">
        <v>45</v>
      </c>
      <c r="H12" s="140"/>
      <c r="I12" s="141"/>
      <c r="J12" s="142"/>
      <c r="K12" s="143"/>
      <c r="L12" s="143"/>
      <c r="M12" s="143"/>
      <c r="N12" s="143"/>
      <c r="O12" s="143"/>
      <c r="P12" s="143"/>
      <c r="Q12" s="143"/>
      <c r="R12" s="143"/>
      <c r="S12" s="143"/>
      <c r="T12" s="144"/>
      <c r="U12" s="144"/>
      <c r="V12" s="144"/>
      <c r="W12" s="145"/>
      <c r="X12" s="146"/>
      <c r="Y12" s="147"/>
      <c r="Z12" s="147"/>
      <c r="AA12" s="147"/>
      <c r="AB12" s="147"/>
      <c r="AC12" s="142"/>
      <c r="AD12" s="142"/>
      <c r="AE12" s="142"/>
      <c r="AF12" s="142">
        <f>AZ11*AZ12*AZ13</f>
        <v>1500</v>
      </c>
      <c r="AG12" s="142"/>
      <c r="AH12" s="142"/>
      <c r="AI12" s="142"/>
      <c r="AJ12" s="142"/>
      <c r="AK12" s="149"/>
      <c r="AL12" s="156"/>
      <c r="AM12" s="142"/>
      <c r="AN12" s="142">
        <f>AZ11*AZ12*AZ14</f>
        <v>3000</v>
      </c>
      <c r="AO12" s="142">
        <f>AZ11*AZ12*AZ15</f>
        <v>1500</v>
      </c>
      <c r="AP12" s="142"/>
      <c r="AQ12" s="142"/>
      <c r="AR12" s="142"/>
      <c r="AS12" s="142"/>
      <c r="AT12" s="142"/>
      <c r="AU12" s="145"/>
      <c r="AV12" s="151">
        <f t="shared" si="1"/>
        <v>6000</v>
      </c>
      <c r="AX12" s="152"/>
      <c r="AY12" s="157" t="s">
        <v>46</v>
      </c>
      <c r="AZ12" s="158">
        <v>2.0</v>
      </c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9"/>
      <c r="BL12" s="159"/>
    </row>
    <row r="13" ht="21.0" customHeight="1">
      <c r="A13" s="105"/>
      <c r="C13" s="160"/>
      <c r="D13" s="161"/>
      <c r="E13" s="161"/>
      <c r="F13" s="161"/>
      <c r="G13" s="162" t="s">
        <v>47</v>
      </c>
      <c r="H13" s="163"/>
      <c r="I13" s="164">
        <f t="shared" ref="I13:AU13" si="2">SUM(I11:I12)</f>
        <v>0</v>
      </c>
      <c r="J13" s="165">
        <f t="shared" si="2"/>
        <v>0</v>
      </c>
      <c r="K13" s="165">
        <f t="shared" si="2"/>
        <v>0</v>
      </c>
      <c r="L13" s="165">
        <f t="shared" si="2"/>
        <v>0</v>
      </c>
      <c r="M13" s="165">
        <f t="shared" si="2"/>
        <v>0</v>
      </c>
      <c r="N13" s="165">
        <f t="shared" si="2"/>
        <v>0</v>
      </c>
      <c r="O13" s="165">
        <f t="shared" si="2"/>
        <v>0</v>
      </c>
      <c r="P13" s="165">
        <f t="shared" si="2"/>
        <v>0</v>
      </c>
      <c r="Q13" s="165">
        <f t="shared" si="2"/>
        <v>0</v>
      </c>
      <c r="R13" s="165">
        <f t="shared" si="2"/>
        <v>0</v>
      </c>
      <c r="S13" s="165">
        <f t="shared" si="2"/>
        <v>0</v>
      </c>
      <c r="T13" s="165">
        <f t="shared" si="2"/>
        <v>0</v>
      </c>
      <c r="U13" s="165">
        <f t="shared" si="2"/>
        <v>0</v>
      </c>
      <c r="V13" s="165">
        <f t="shared" si="2"/>
        <v>0</v>
      </c>
      <c r="W13" s="166">
        <f t="shared" si="2"/>
        <v>0</v>
      </c>
      <c r="X13" s="167">
        <f t="shared" si="2"/>
        <v>0</v>
      </c>
      <c r="Y13" s="165">
        <f t="shared" si="2"/>
        <v>0</v>
      </c>
      <c r="Z13" s="165">
        <f t="shared" si="2"/>
        <v>0</v>
      </c>
      <c r="AA13" s="165">
        <f t="shared" si="2"/>
        <v>0</v>
      </c>
      <c r="AB13" s="165">
        <f t="shared" si="2"/>
        <v>0</v>
      </c>
      <c r="AC13" s="165">
        <f t="shared" si="2"/>
        <v>0</v>
      </c>
      <c r="AD13" s="165">
        <f t="shared" si="2"/>
        <v>0</v>
      </c>
      <c r="AE13" s="165">
        <f t="shared" si="2"/>
        <v>0</v>
      </c>
      <c r="AF13" s="165">
        <f t="shared" si="2"/>
        <v>1500</v>
      </c>
      <c r="AG13" s="165">
        <f t="shared" si="2"/>
        <v>0</v>
      </c>
      <c r="AH13" s="165">
        <f t="shared" si="2"/>
        <v>0</v>
      </c>
      <c r="AI13" s="165">
        <f t="shared" si="2"/>
        <v>0</v>
      </c>
      <c r="AJ13" s="165">
        <f t="shared" si="2"/>
        <v>0</v>
      </c>
      <c r="AK13" s="166">
        <f t="shared" si="2"/>
        <v>0</v>
      </c>
      <c r="AL13" s="167">
        <f t="shared" si="2"/>
        <v>17000</v>
      </c>
      <c r="AM13" s="165">
        <f t="shared" si="2"/>
        <v>0</v>
      </c>
      <c r="AN13" s="165">
        <f t="shared" si="2"/>
        <v>3000</v>
      </c>
      <c r="AO13" s="165">
        <f t="shared" si="2"/>
        <v>27000</v>
      </c>
      <c r="AP13" s="165">
        <f t="shared" si="2"/>
        <v>0</v>
      </c>
      <c r="AQ13" s="165">
        <f t="shared" si="2"/>
        <v>0</v>
      </c>
      <c r="AR13" s="165">
        <f t="shared" si="2"/>
        <v>0</v>
      </c>
      <c r="AS13" s="165">
        <f t="shared" si="2"/>
        <v>0</v>
      </c>
      <c r="AT13" s="165">
        <f t="shared" si="2"/>
        <v>0</v>
      </c>
      <c r="AU13" s="165">
        <f t="shared" si="2"/>
        <v>0</v>
      </c>
      <c r="AV13" s="168"/>
      <c r="AX13" s="152"/>
      <c r="AY13" s="157" t="s">
        <v>48</v>
      </c>
      <c r="AZ13" s="169">
        <v>0.25</v>
      </c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9"/>
      <c r="BL13" s="159"/>
    </row>
    <row r="14" ht="21.0" customHeight="1">
      <c r="A14" s="105"/>
      <c r="B14" s="170">
        <v>2.0</v>
      </c>
      <c r="C14" s="137"/>
      <c r="D14" s="171" t="s">
        <v>49</v>
      </c>
      <c r="G14" s="172" t="s">
        <v>50</v>
      </c>
      <c r="H14" s="140"/>
      <c r="I14" s="173">
        <f>IFERROR(__xludf.DUMMYFUNCTION("TRANSPOSE(IMPORTRANGE(""https://docs.google.com/spreadsheets/d/1qQtGxtQxl4quYXMPd_zQFdY6wDqctFn9YzueJfNjlEM/edit#gid=699824725"",""Salary Sheet!K13:K27""))"),0.0)</f>
        <v>0</v>
      </c>
      <c r="J14" s="173">
        <f>IFERROR(__xludf.DUMMYFUNCTION("""COMPUTED_VALUE"""),62.5)</f>
        <v>62.5</v>
      </c>
      <c r="K14" s="173">
        <f>IFERROR(__xludf.DUMMYFUNCTION("""COMPUTED_VALUE"""),125.0)</f>
        <v>125</v>
      </c>
      <c r="L14" s="173">
        <f>IFERROR(__xludf.DUMMYFUNCTION("""COMPUTED_VALUE"""),150.0)</f>
        <v>150</v>
      </c>
      <c r="M14" s="173">
        <f>IFERROR(__xludf.DUMMYFUNCTION("""COMPUTED_VALUE"""),62.5)</f>
        <v>62.5</v>
      </c>
      <c r="N14" s="173">
        <f>IFERROR(__xludf.DUMMYFUNCTION("""COMPUTED_VALUE"""),75.0)</f>
        <v>75</v>
      </c>
      <c r="O14" s="173">
        <f>IFERROR(__xludf.DUMMYFUNCTION("""COMPUTED_VALUE"""),62.5)</f>
        <v>62.5</v>
      </c>
      <c r="P14" s="173">
        <f>IFERROR(__xludf.DUMMYFUNCTION("""COMPUTED_VALUE"""),62.5)</f>
        <v>62.5</v>
      </c>
      <c r="Q14" s="173">
        <f>IFERROR(__xludf.DUMMYFUNCTION("""COMPUTED_VALUE"""),125.0)</f>
        <v>125</v>
      </c>
      <c r="R14" s="173">
        <f>IFERROR(__xludf.DUMMYFUNCTION("""COMPUTED_VALUE"""),137.5)</f>
        <v>137.5</v>
      </c>
      <c r="S14" s="173">
        <f>IFERROR(__xludf.DUMMYFUNCTION("""COMPUTED_VALUE"""),0.0)</f>
        <v>0</v>
      </c>
      <c r="T14" s="173">
        <f>IFERROR(__xludf.DUMMYFUNCTION("""COMPUTED_VALUE"""),0.0)</f>
        <v>0</v>
      </c>
      <c r="U14" s="173">
        <f>IFERROR(__xludf.DUMMYFUNCTION("""COMPUTED_VALUE"""),0.0)</f>
        <v>0</v>
      </c>
      <c r="V14" s="173">
        <f>IFERROR(__xludf.DUMMYFUNCTION("""COMPUTED_VALUE"""),0.0)</f>
        <v>0</v>
      </c>
      <c r="W14" s="173">
        <f>IFERROR(__xludf.DUMMYFUNCTION("""COMPUTED_VALUE"""),0.0)</f>
        <v>0</v>
      </c>
      <c r="X14" s="174">
        <f>IFERROR(__xludf.DUMMYFUNCTION("TRANSPOSE(IMPORTRANGE(""https://docs.google.com/spreadsheets/d/1qQtGxtQxl4quYXMPd_zQFdY6wDqctFn9YzueJfNjlEM/edit#gid=699824725"",""Salary Sheet!K29:K42""))"),0.0)</f>
        <v>0</v>
      </c>
      <c r="Y14" s="175">
        <f>IFERROR(__xludf.DUMMYFUNCTION("""COMPUTED_VALUE"""),175.0)</f>
        <v>175</v>
      </c>
      <c r="Z14" s="175">
        <f>IFERROR(__xludf.DUMMYFUNCTION("""COMPUTED_VALUE"""),162.5)</f>
        <v>162.5</v>
      </c>
      <c r="AA14" s="175">
        <f>IFERROR(__xludf.DUMMYFUNCTION("""COMPUTED_VALUE"""),200.0)</f>
        <v>200</v>
      </c>
      <c r="AB14" s="175">
        <f>IFERROR(__xludf.DUMMYFUNCTION("""COMPUTED_VALUE"""),312.5)</f>
        <v>312.5</v>
      </c>
      <c r="AC14" s="175">
        <f>IFERROR(__xludf.DUMMYFUNCTION("""COMPUTED_VALUE"""),387.5)</f>
        <v>387.5</v>
      </c>
      <c r="AD14" s="175">
        <f>IFERROR(__xludf.DUMMYFUNCTION("""COMPUTED_VALUE"""),200.0)</f>
        <v>200</v>
      </c>
      <c r="AE14" s="175">
        <f>IFERROR(__xludf.DUMMYFUNCTION("""COMPUTED_VALUE"""),271.875)</f>
        <v>271.875</v>
      </c>
      <c r="AF14" s="175">
        <f>IFERROR(__xludf.DUMMYFUNCTION("""COMPUTED_VALUE"""),300.0)</f>
        <v>300</v>
      </c>
      <c r="AG14" s="175">
        <f>IFERROR(__xludf.DUMMYFUNCTION("""COMPUTED_VALUE"""),425.0)</f>
        <v>425</v>
      </c>
      <c r="AH14" s="176">
        <f>IFERROR(__xludf.DUMMYFUNCTION("""COMPUTED_VALUE"""),125.0)</f>
        <v>125</v>
      </c>
      <c r="AI14" s="176">
        <f>IFERROR(__xludf.DUMMYFUNCTION("""COMPUTED_VALUE"""),25.0)</f>
        <v>25</v>
      </c>
      <c r="AJ14" s="176">
        <f>IFERROR(__xludf.DUMMYFUNCTION("""COMPUTED_VALUE"""),212.5)</f>
        <v>212.5</v>
      </c>
      <c r="AK14" s="176">
        <f>IFERROR(__xludf.DUMMYFUNCTION("""COMPUTED_VALUE"""),400.0)</f>
        <v>400</v>
      </c>
      <c r="AL14" s="174">
        <f>IFERROR(__xludf.DUMMYFUNCTION("TRANSPOSE(IMPORTRANGE(""https://docs.google.com/spreadsheets/d/1qQtGxtQxl4quYXMPd_zQFdY6wDqctFn9YzueJfNjlEM/edit#gid=699824725"",""Salary Sheet!K44:K53""))"),525.0)</f>
        <v>525</v>
      </c>
      <c r="AM14" s="175">
        <f>IFERROR(__xludf.DUMMYFUNCTION("""COMPUTED_VALUE"""),400.0)</f>
        <v>400</v>
      </c>
      <c r="AN14" s="175">
        <f>IFERROR(__xludf.DUMMYFUNCTION("""COMPUTED_VALUE"""),500.0)</f>
        <v>500</v>
      </c>
      <c r="AO14" s="175">
        <f>IFERROR(__xludf.DUMMYFUNCTION("""COMPUTED_VALUE"""),331.25)</f>
        <v>331.25</v>
      </c>
      <c r="AP14" s="175">
        <f>IFERROR(__xludf.DUMMYFUNCTION("""COMPUTED_VALUE"""),562.5)</f>
        <v>562.5</v>
      </c>
      <c r="AQ14" s="175">
        <f>IFERROR(__xludf.DUMMYFUNCTION("""COMPUTED_VALUE"""),725.0)</f>
        <v>725</v>
      </c>
      <c r="AR14" s="175">
        <f>IFERROR(__xludf.DUMMYFUNCTION("""COMPUTED_VALUE"""),687.5)</f>
        <v>687.5</v>
      </c>
      <c r="AS14" s="175">
        <f>IFERROR(__xludf.DUMMYFUNCTION("""COMPUTED_VALUE"""),568.75)</f>
        <v>568.75</v>
      </c>
      <c r="AT14" s="175">
        <f>IFERROR(__xludf.DUMMYFUNCTION("""COMPUTED_VALUE"""),0.0)</f>
        <v>0</v>
      </c>
      <c r="AU14" s="175">
        <f>IFERROR(__xludf.DUMMYFUNCTION("""COMPUTED_VALUE"""),0.0)</f>
        <v>0</v>
      </c>
      <c r="AV14" s="151">
        <f t="shared" ref="AV14:AV19" si="3">SUM(I14:AU14)</f>
        <v>8359.375</v>
      </c>
      <c r="AX14" s="152"/>
      <c r="AY14" s="157" t="s">
        <v>51</v>
      </c>
      <c r="AZ14" s="169">
        <v>0.5</v>
      </c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9"/>
      <c r="BL14" s="159"/>
    </row>
    <row r="15" ht="21.0" customHeight="1">
      <c r="A15" s="105"/>
      <c r="C15" s="137"/>
      <c r="G15" s="172" t="s">
        <v>52</v>
      </c>
      <c r="H15" s="140"/>
      <c r="I15" s="177"/>
      <c r="J15" s="178"/>
      <c r="K15" s="178"/>
      <c r="L15" s="178">
        <f>(COUNTBLANK(I15:K15)+1)*AZ19</f>
        <v>2530.769231</v>
      </c>
      <c r="M15" s="179"/>
      <c r="N15" s="179"/>
      <c r="O15" s="179">
        <f>(COUNTBLANK(M15:N15)+1)*AZ19</f>
        <v>1898.076923</v>
      </c>
      <c r="P15" s="180"/>
      <c r="Q15" s="180"/>
      <c r="R15" s="180">
        <f>(COUNTBLANK(P15:Q15)+1)*AZ19</f>
        <v>1898.076923</v>
      </c>
      <c r="S15" s="179"/>
      <c r="T15" s="179"/>
      <c r="U15" s="179"/>
      <c r="V15" s="179"/>
      <c r="W15" s="181"/>
      <c r="X15" s="182"/>
      <c r="Y15" s="179"/>
      <c r="Z15" s="179"/>
      <c r="AA15" s="179">
        <f>(COUNTBLANK(S15:Z15)+1)*AZ19</f>
        <v>5694.230769</v>
      </c>
      <c r="AB15" s="180"/>
      <c r="AC15" s="180"/>
      <c r="AD15" s="180">
        <f>(COUNTBLANK(AB15:AC15)+1)*AZ19</f>
        <v>1898.076923</v>
      </c>
      <c r="AE15" s="179"/>
      <c r="AF15" s="179"/>
      <c r="AG15" s="179">
        <f>(COUNTBLANK(AE15:AF15)+1)*AZ19</f>
        <v>1898.076923</v>
      </c>
      <c r="AH15" s="178"/>
      <c r="AI15" s="178"/>
      <c r="AJ15" s="178"/>
      <c r="AK15" s="183"/>
      <c r="AL15" s="184"/>
      <c r="AM15" s="178"/>
      <c r="AN15" s="178"/>
      <c r="AO15" s="178">
        <f>(COUNTBLANK(AH15:AN15)+1)*AZ19</f>
        <v>5061.538462</v>
      </c>
      <c r="AP15" s="185"/>
      <c r="AQ15" s="185"/>
      <c r="AR15" s="185">
        <f>(COUNTBLANK(AP15:AQ15)+1)*AZ19</f>
        <v>1898.076923</v>
      </c>
      <c r="AS15" s="178"/>
      <c r="AT15" s="178"/>
      <c r="AU15" s="186">
        <f>(COUNTBLANK(AS15:AT15)+1)*AZ19</f>
        <v>1898.076923</v>
      </c>
      <c r="AV15" s="151">
        <f t="shared" si="3"/>
        <v>24675</v>
      </c>
      <c r="AX15" s="152"/>
      <c r="AY15" s="187" t="s">
        <v>53</v>
      </c>
      <c r="AZ15" s="188">
        <v>0.25</v>
      </c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9"/>
      <c r="BL15" s="159"/>
    </row>
    <row r="16" ht="21.0" customHeight="1">
      <c r="A16" s="105"/>
      <c r="C16" s="137"/>
      <c r="G16" s="172" t="s">
        <v>54</v>
      </c>
      <c r="H16" s="140"/>
      <c r="I16" s="177"/>
      <c r="J16" s="178"/>
      <c r="K16" s="178"/>
      <c r="L16" s="178"/>
      <c r="M16" s="178"/>
      <c r="N16" s="178">
        <f t="shared" ref="N16:N17" si="4">(COUNTBLANK(I16:M16)+1)*AZ20</f>
        <v>600</v>
      </c>
      <c r="O16" s="185"/>
      <c r="P16" s="185"/>
      <c r="Q16" s="185"/>
      <c r="R16" s="185">
        <f t="shared" ref="R16:R17" si="5">(COUNTBLANK(O16:Q16)+1)*AZ20</f>
        <v>400</v>
      </c>
      <c r="S16" s="178"/>
      <c r="T16" s="178"/>
      <c r="U16" s="178"/>
      <c r="V16" s="178"/>
      <c r="W16" s="189"/>
      <c r="X16" s="177"/>
      <c r="Y16" s="178"/>
      <c r="Z16" s="178"/>
      <c r="AA16" s="178"/>
      <c r="AB16" s="178"/>
      <c r="AC16" s="178">
        <f t="shared" ref="AC16:AC17" si="6">(COUNTBLANK(S16:AB16)+1)*AZ20</f>
        <v>1100</v>
      </c>
      <c r="AD16" s="185"/>
      <c r="AE16" s="185"/>
      <c r="AF16" s="185"/>
      <c r="AG16" s="185">
        <f t="shared" ref="AG16:AG17" si="7">(COUNTBLANK(AD16:AF16)+1)*AZ20</f>
        <v>400</v>
      </c>
      <c r="AH16" s="178"/>
      <c r="AI16" s="178"/>
      <c r="AJ16" s="178"/>
      <c r="AK16" s="183"/>
      <c r="AL16" s="190"/>
      <c r="AM16" s="178"/>
      <c r="AN16" s="178"/>
      <c r="AO16" s="178"/>
      <c r="AP16" s="178"/>
      <c r="AQ16" s="178">
        <f t="shared" ref="AQ16:AQ17" si="8">(COUNTBLANK(AH16:AP16)+1)*AZ20</f>
        <v>1000</v>
      </c>
      <c r="AR16" s="185"/>
      <c r="AS16" s="185"/>
      <c r="AT16" s="185"/>
      <c r="AU16" s="191">
        <f t="shared" ref="AU16:AU17" si="9">(COUNTBLANK(AR16:AT16)+1)*AZ20</f>
        <v>400</v>
      </c>
      <c r="AV16" s="151">
        <f t="shared" si="3"/>
        <v>3900</v>
      </c>
      <c r="AX16" s="192"/>
      <c r="AY16" s="153" t="s">
        <v>55</v>
      </c>
      <c r="AZ16" s="154">
        <v>12.5</v>
      </c>
      <c r="BA16" s="193"/>
      <c r="BB16" s="193"/>
      <c r="BC16" s="193"/>
      <c r="BD16" s="193"/>
      <c r="BE16" s="193"/>
      <c r="BF16" s="193"/>
      <c r="BG16" s="193"/>
      <c r="BH16" s="193"/>
      <c r="BI16" s="193"/>
      <c r="BJ16" s="193"/>
      <c r="BK16" s="194"/>
      <c r="BL16" s="105"/>
    </row>
    <row r="17" ht="21.0" customHeight="1">
      <c r="A17" s="105"/>
      <c r="C17" s="137"/>
      <c r="G17" s="172" t="s">
        <v>56</v>
      </c>
      <c r="H17" s="140"/>
      <c r="I17" s="177"/>
      <c r="J17" s="178"/>
      <c r="K17" s="178"/>
      <c r="L17" s="178"/>
      <c r="M17" s="178"/>
      <c r="N17" s="178">
        <f t="shared" si="4"/>
        <v>300</v>
      </c>
      <c r="O17" s="185"/>
      <c r="P17" s="185"/>
      <c r="Q17" s="185"/>
      <c r="R17" s="185">
        <f t="shared" si="5"/>
        <v>200</v>
      </c>
      <c r="S17" s="178"/>
      <c r="T17" s="178"/>
      <c r="U17" s="178"/>
      <c r="V17" s="178"/>
      <c r="W17" s="189"/>
      <c r="X17" s="177"/>
      <c r="Y17" s="178"/>
      <c r="Z17" s="178"/>
      <c r="AA17" s="178"/>
      <c r="AB17" s="178"/>
      <c r="AC17" s="178">
        <f t="shared" si="6"/>
        <v>550</v>
      </c>
      <c r="AD17" s="185"/>
      <c r="AE17" s="185"/>
      <c r="AF17" s="195"/>
      <c r="AG17" s="185">
        <f t="shared" si="7"/>
        <v>200</v>
      </c>
      <c r="AH17" s="178"/>
      <c r="AI17" s="178"/>
      <c r="AJ17" s="178"/>
      <c r="AK17" s="183"/>
      <c r="AL17" s="190"/>
      <c r="AM17" s="178"/>
      <c r="AN17" s="178"/>
      <c r="AO17" s="178"/>
      <c r="AP17" s="178"/>
      <c r="AQ17" s="178">
        <f t="shared" si="8"/>
        <v>500</v>
      </c>
      <c r="AR17" s="185"/>
      <c r="AS17" s="185"/>
      <c r="AT17" s="185"/>
      <c r="AU17" s="191">
        <f t="shared" si="9"/>
        <v>200</v>
      </c>
      <c r="AV17" s="151">
        <f t="shared" si="3"/>
        <v>1950</v>
      </c>
      <c r="AX17" s="193"/>
      <c r="AY17" s="157" t="s">
        <v>57</v>
      </c>
      <c r="AZ17" s="158">
        <v>7.0</v>
      </c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4"/>
      <c r="BL17" s="105"/>
    </row>
    <row r="18" ht="21.0" customHeight="1">
      <c r="A18" s="105"/>
      <c r="C18" s="137"/>
      <c r="G18" s="172" t="s">
        <v>58</v>
      </c>
      <c r="H18" s="140"/>
      <c r="I18" s="196"/>
      <c r="J18" s="147"/>
      <c r="K18" s="147"/>
      <c r="L18" s="147"/>
      <c r="M18" s="147"/>
      <c r="N18" s="147"/>
      <c r="O18" s="147"/>
      <c r="P18" s="147"/>
      <c r="Q18" s="147"/>
      <c r="R18" s="147"/>
      <c r="S18" s="197"/>
      <c r="T18" s="147"/>
      <c r="U18" s="147"/>
      <c r="V18" s="147"/>
      <c r="W18" s="198"/>
      <c r="X18" s="199"/>
      <c r="Y18" s="147"/>
      <c r="Z18" s="147"/>
      <c r="AA18" s="147"/>
      <c r="AB18" s="147"/>
      <c r="AC18" s="147"/>
      <c r="AD18" s="147"/>
      <c r="AE18" s="200"/>
      <c r="AF18" s="201">
        <f>AZ11*AZ13+AZ11*AZ13</f>
        <v>1500</v>
      </c>
      <c r="AG18" s="202"/>
      <c r="AH18" s="147"/>
      <c r="AI18" s="147"/>
      <c r="AJ18" s="147"/>
      <c r="AK18" s="203"/>
      <c r="AL18" s="199"/>
      <c r="AM18" s="147"/>
      <c r="AN18" s="204">
        <f>AZ11*AZ14</f>
        <v>1500</v>
      </c>
      <c r="AO18" s="201">
        <f>AZ11*AZ15</f>
        <v>750</v>
      </c>
      <c r="AP18" s="147"/>
      <c r="AQ18" s="147"/>
      <c r="AR18" s="147"/>
      <c r="AS18" s="147"/>
      <c r="AT18" s="147"/>
      <c r="AU18" s="198"/>
      <c r="AV18" s="151">
        <f t="shared" si="3"/>
        <v>3750</v>
      </c>
      <c r="AX18" s="193"/>
      <c r="AY18" s="157" t="s">
        <v>59</v>
      </c>
      <c r="AZ18" s="205">
        <f>AV14/AZ16</f>
        <v>668.75</v>
      </c>
      <c r="BA18" s="193"/>
      <c r="BB18" s="193"/>
      <c r="BC18" s="193"/>
      <c r="BD18" s="193"/>
      <c r="BE18" s="193"/>
      <c r="BF18" s="193"/>
      <c r="BG18" s="193"/>
      <c r="BH18" s="193"/>
      <c r="BI18" s="193"/>
      <c r="BJ18" s="193"/>
      <c r="BK18" s="194"/>
      <c r="BL18" s="105"/>
    </row>
    <row r="19" ht="21.0" customHeight="1">
      <c r="A19" s="105"/>
      <c r="C19" s="137"/>
      <c r="G19" s="172" t="s">
        <v>60</v>
      </c>
      <c r="H19" s="140"/>
      <c r="I19" s="19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7"/>
      <c r="X19" s="208"/>
      <c r="Y19" s="206"/>
      <c r="Z19" s="206"/>
      <c r="AA19" s="206"/>
      <c r="AB19" s="206"/>
      <c r="AC19" s="206"/>
      <c r="AD19" s="209"/>
      <c r="AE19" s="210"/>
      <c r="AF19" s="211">
        <f>AZ11*AZ13</f>
        <v>750</v>
      </c>
      <c r="AG19" s="212">
        <f t="shared" ref="AG19:AK19" si="10">$AG$11*$AZ$26+$AZ$28</f>
        <v>0</v>
      </c>
      <c r="AH19" s="212">
        <f t="shared" si="10"/>
        <v>0</v>
      </c>
      <c r="AI19" s="212">
        <f t="shared" si="10"/>
        <v>0</v>
      </c>
      <c r="AJ19" s="212">
        <f t="shared" si="10"/>
        <v>0</v>
      </c>
      <c r="AK19" s="212">
        <f t="shared" si="10"/>
        <v>0</v>
      </c>
      <c r="AL19" s="213">
        <f t="shared" ref="AL19:AU19" si="11">($AG$11+$AL$11)*$AZ$26+$AZ$28</f>
        <v>53.07777778</v>
      </c>
      <c r="AM19" s="214">
        <f t="shared" si="11"/>
        <v>53.07777778</v>
      </c>
      <c r="AN19" s="214">
        <f t="shared" si="11"/>
        <v>53.07777778</v>
      </c>
      <c r="AO19" s="214">
        <f t="shared" si="11"/>
        <v>53.07777778</v>
      </c>
      <c r="AP19" s="214">
        <f t="shared" si="11"/>
        <v>53.07777778</v>
      </c>
      <c r="AQ19" s="214">
        <f t="shared" si="11"/>
        <v>53.07777778</v>
      </c>
      <c r="AR19" s="214">
        <f t="shared" si="11"/>
        <v>53.07777778</v>
      </c>
      <c r="AS19" s="214">
        <f t="shared" si="11"/>
        <v>53.07777778</v>
      </c>
      <c r="AT19" s="214">
        <f t="shared" si="11"/>
        <v>53.07777778</v>
      </c>
      <c r="AU19" s="214">
        <f t="shared" si="11"/>
        <v>53.07777778</v>
      </c>
      <c r="AV19" s="151">
        <f t="shared" si="3"/>
        <v>1280.777778</v>
      </c>
      <c r="AX19" s="193"/>
      <c r="AY19" s="153" t="s">
        <v>61</v>
      </c>
      <c r="AZ19" s="154">
        <f>(1400*23.5)/52</f>
        <v>632.6923077</v>
      </c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4"/>
      <c r="BL19" s="105"/>
    </row>
    <row r="20" ht="21.0" customHeight="1">
      <c r="A20" s="105"/>
      <c r="C20" s="215"/>
      <c r="D20" s="216"/>
      <c r="E20" s="216"/>
      <c r="F20" s="216"/>
      <c r="G20" s="217" t="s">
        <v>62</v>
      </c>
      <c r="H20" s="218"/>
      <c r="I20" s="219">
        <f t="shared" ref="I20:AU20" si="12">SUM(I14:I19)</f>
        <v>0</v>
      </c>
      <c r="J20" s="219">
        <f t="shared" si="12"/>
        <v>62.5</v>
      </c>
      <c r="K20" s="219">
        <f t="shared" si="12"/>
        <v>125</v>
      </c>
      <c r="L20" s="219">
        <f t="shared" si="12"/>
        <v>2680.769231</v>
      </c>
      <c r="M20" s="219">
        <f t="shared" si="12"/>
        <v>62.5</v>
      </c>
      <c r="N20" s="219">
        <f t="shared" si="12"/>
        <v>975</v>
      </c>
      <c r="O20" s="219">
        <f t="shared" si="12"/>
        <v>1960.576923</v>
      </c>
      <c r="P20" s="219">
        <f t="shared" si="12"/>
        <v>62.5</v>
      </c>
      <c r="Q20" s="219">
        <f t="shared" si="12"/>
        <v>125</v>
      </c>
      <c r="R20" s="219">
        <f t="shared" si="12"/>
        <v>2635.576923</v>
      </c>
      <c r="S20" s="219">
        <f t="shared" si="12"/>
        <v>0</v>
      </c>
      <c r="T20" s="219">
        <f t="shared" si="12"/>
        <v>0</v>
      </c>
      <c r="U20" s="219">
        <f t="shared" si="12"/>
        <v>0</v>
      </c>
      <c r="V20" s="219">
        <f t="shared" si="12"/>
        <v>0</v>
      </c>
      <c r="W20" s="220">
        <f t="shared" si="12"/>
        <v>0</v>
      </c>
      <c r="X20" s="219">
        <f t="shared" si="12"/>
        <v>0</v>
      </c>
      <c r="Y20" s="219">
        <f t="shared" si="12"/>
        <v>175</v>
      </c>
      <c r="Z20" s="219">
        <f t="shared" si="12"/>
        <v>162.5</v>
      </c>
      <c r="AA20" s="219">
        <f t="shared" si="12"/>
        <v>5894.230769</v>
      </c>
      <c r="AB20" s="219">
        <f t="shared" si="12"/>
        <v>312.5</v>
      </c>
      <c r="AC20" s="219">
        <f t="shared" si="12"/>
        <v>2037.5</v>
      </c>
      <c r="AD20" s="219">
        <f t="shared" si="12"/>
        <v>2098.076923</v>
      </c>
      <c r="AE20" s="219">
        <f t="shared" si="12"/>
        <v>271.875</v>
      </c>
      <c r="AF20" s="219">
        <f t="shared" si="12"/>
        <v>2550</v>
      </c>
      <c r="AG20" s="219">
        <f t="shared" si="12"/>
        <v>2923.076923</v>
      </c>
      <c r="AH20" s="219">
        <f t="shared" si="12"/>
        <v>125</v>
      </c>
      <c r="AI20" s="219">
        <f t="shared" si="12"/>
        <v>25</v>
      </c>
      <c r="AJ20" s="219">
        <f t="shared" si="12"/>
        <v>212.5</v>
      </c>
      <c r="AK20" s="220">
        <f t="shared" si="12"/>
        <v>400</v>
      </c>
      <c r="AL20" s="219">
        <f t="shared" si="12"/>
        <v>578.0777778</v>
      </c>
      <c r="AM20" s="219">
        <f t="shared" si="12"/>
        <v>453.0777778</v>
      </c>
      <c r="AN20" s="219">
        <f t="shared" si="12"/>
        <v>2053.077778</v>
      </c>
      <c r="AO20" s="219">
        <f t="shared" si="12"/>
        <v>6195.866239</v>
      </c>
      <c r="AP20" s="219">
        <f t="shared" si="12"/>
        <v>615.5777778</v>
      </c>
      <c r="AQ20" s="219">
        <f t="shared" si="12"/>
        <v>2278.077778</v>
      </c>
      <c r="AR20" s="219">
        <f t="shared" si="12"/>
        <v>2638.654701</v>
      </c>
      <c r="AS20" s="219">
        <f t="shared" si="12"/>
        <v>621.8277778</v>
      </c>
      <c r="AT20" s="219">
        <f t="shared" si="12"/>
        <v>53.07777778</v>
      </c>
      <c r="AU20" s="220">
        <f t="shared" si="12"/>
        <v>2551.154701</v>
      </c>
      <c r="AV20" s="168"/>
      <c r="AX20" s="193"/>
      <c r="AY20" s="157" t="s">
        <v>63</v>
      </c>
      <c r="AZ20" s="221">
        <v>100.0</v>
      </c>
      <c r="BB20" s="193"/>
      <c r="BC20" s="193"/>
      <c r="BD20" s="193"/>
      <c r="BE20" s="193"/>
      <c r="BF20" s="193"/>
      <c r="BG20" s="193"/>
      <c r="BH20" s="193"/>
      <c r="BI20" s="193"/>
      <c r="BJ20" s="193"/>
      <c r="BK20" s="194"/>
      <c r="BL20" s="105"/>
    </row>
    <row r="21" ht="21.0" customHeight="1">
      <c r="A21" s="105"/>
      <c r="B21" s="222">
        <v>3.0</v>
      </c>
      <c r="C21" s="137"/>
      <c r="D21" s="223" t="s">
        <v>64</v>
      </c>
      <c r="G21" s="224" t="s">
        <v>65</v>
      </c>
      <c r="H21" s="140"/>
      <c r="I21" s="225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7"/>
      <c r="X21" s="228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9"/>
      <c r="AL21" s="228"/>
      <c r="AM21" s="226"/>
      <c r="AN21" s="226"/>
      <c r="AO21" s="226"/>
      <c r="AP21" s="226"/>
      <c r="AQ21" s="226"/>
      <c r="AR21" s="226"/>
      <c r="AS21" s="226"/>
      <c r="AT21" s="226"/>
      <c r="AU21" s="227"/>
      <c r="AV21" s="151">
        <f t="shared" ref="AV21:AV23" si="13">SUM(I21:AU21)</f>
        <v>0</v>
      </c>
      <c r="AX21" s="193"/>
      <c r="AY21" s="187" t="s">
        <v>66</v>
      </c>
      <c r="AZ21" s="230">
        <v>50.0</v>
      </c>
      <c r="BB21" s="193"/>
      <c r="BC21" s="193"/>
      <c r="BD21" s="193"/>
      <c r="BE21" s="193"/>
      <c r="BF21" s="193"/>
      <c r="BG21" s="193"/>
      <c r="BH21" s="193"/>
      <c r="BI21" s="193"/>
      <c r="BJ21" s="193"/>
      <c r="BK21" s="194"/>
      <c r="BL21" s="105"/>
    </row>
    <row r="22" ht="21.0" customHeight="1">
      <c r="A22" s="105"/>
      <c r="C22" s="137"/>
      <c r="G22" s="224" t="s">
        <v>67</v>
      </c>
      <c r="H22" s="140"/>
      <c r="I22" s="231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3"/>
      <c r="X22" s="234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5"/>
      <c r="AL22" s="234"/>
      <c r="AM22" s="232"/>
      <c r="AN22" s="232"/>
      <c r="AO22" s="232"/>
      <c r="AP22" s="232"/>
      <c r="AQ22" s="232"/>
      <c r="AR22" s="232"/>
      <c r="AS22" s="232"/>
      <c r="AT22" s="232"/>
      <c r="AU22" s="233"/>
      <c r="AV22" s="151">
        <f t="shared" si="13"/>
        <v>0</v>
      </c>
      <c r="AX22" s="193"/>
      <c r="AY22" s="153" t="s">
        <v>68</v>
      </c>
      <c r="AZ22" s="154">
        <v>42500.0</v>
      </c>
      <c r="BA22" s="193"/>
      <c r="BB22" s="193"/>
      <c r="BC22" s="193"/>
      <c r="BD22" s="193"/>
      <c r="BE22" s="193"/>
      <c r="BF22" s="193"/>
      <c r="BG22" s="193"/>
      <c r="BH22" s="193"/>
      <c r="BI22" s="193"/>
      <c r="BJ22" s="193"/>
      <c r="BK22" s="194"/>
      <c r="BL22" s="105"/>
    </row>
    <row r="23" ht="21.0" customHeight="1">
      <c r="A23" s="105"/>
      <c r="C23" s="137"/>
      <c r="G23" s="224" t="s">
        <v>69</v>
      </c>
      <c r="H23" s="140"/>
      <c r="I23" s="231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3"/>
      <c r="X23" s="234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5"/>
      <c r="AL23" s="234"/>
      <c r="AM23" s="232"/>
      <c r="AN23" s="232"/>
      <c r="AO23" s="232"/>
      <c r="AP23" s="232"/>
      <c r="AQ23" s="232"/>
      <c r="AR23" s="232"/>
      <c r="AS23" s="232"/>
      <c r="AT23" s="232"/>
      <c r="AU23" s="233"/>
      <c r="AV23" s="151">
        <f t="shared" si="13"/>
        <v>0</v>
      </c>
      <c r="AX23" s="236"/>
      <c r="AY23" s="157" t="s">
        <v>70</v>
      </c>
      <c r="AZ23" s="169">
        <v>0.6</v>
      </c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105"/>
      <c r="BL23" s="105"/>
    </row>
    <row r="24" ht="21.0" customHeight="1">
      <c r="A24" s="105"/>
      <c r="C24" s="237"/>
      <c r="D24" s="238"/>
      <c r="E24" s="238"/>
      <c r="F24" s="238"/>
      <c r="G24" s="239" t="s">
        <v>71</v>
      </c>
      <c r="H24" s="240"/>
      <c r="I24" s="241">
        <f t="shared" ref="I24:AU24" si="14">SUm(I21:I23)</f>
        <v>0</v>
      </c>
      <c r="J24" s="242">
        <f t="shared" si="14"/>
        <v>0</v>
      </c>
      <c r="K24" s="242">
        <f t="shared" si="14"/>
        <v>0</v>
      </c>
      <c r="L24" s="242">
        <f t="shared" si="14"/>
        <v>0</v>
      </c>
      <c r="M24" s="242">
        <f t="shared" si="14"/>
        <v>0</v>
      </c>
      <c r="N24" s="242">
        <f t="shared" si="14"/>
        <v>0</v>
      </c>
      <c r="O24" s="242">
        <f t="shared" si="14"/>
        <v>0</v>
      </c>
      <c r="P24" s="242">
        <f t="shared" si="14"/>
        <v>0</v>
      </c>
      <c r="Q24" s="242">
        <f t="shared" si="14"/>
        <v>0</v>
      </c>
      <c r="R24" s="242">
        <f t="shared" si="14"/>
        <v>0</v>
      </c>
      <c r="S24" s="242">
        <f t="shared" si="14"/>
        <v>0</v>
      </c>
      <c r="T24" s="242">
        <f t="shared" si="14"/>
        <v>0</v>
      </c>
      <c r="U24" s="242">
        <f t="shared" si="14"/>
        <v>0</v>
      </c>
      <c r="V24" s="242">
        <f t="shared" si="14"/>
        <v>0</v>
      </c>
      <c r="W24" s="243">
        <f t="shared" si="14"/>
        <v>0</v>
      </c>
      <c r="X24" s="241">
        <f t="shared" si="14"/>
        <v>0</v>
      </c>
      <c r="Y24" s="242">
        <f t="shared" si="14"/>
        <v>0</v>
      </c>
      <c r="Z24" s="242">
        <f t="shared" si="14"/>
        <v>0</v>
      </c>
      <c r="AA24" s="242">
        <f t="shared" si="14"/>
        <v>0</v>
      </c>
      <c r="AB24" s="242">
        <f t="shared" si="14"/>
        <v>0</v>
      </c>
      <c r="AC24" s="242">
        <f t="shared" si="14"/>
        <v>0</v>
      </c>
      <c r="AD24" s="242">
        <f t="shared" si="14"/>
        <v>0</v>
      </c>
      <c r="AE24" s="242">
        <f t="shared" si="14"/>
        <v>0</v>
      </c>
      <c r="AF24" s="242">
        <f t="shared" si="14"/>
        <v>0</v>
      </c>
      <c r="AG24" s="242">
        <f t="shared" si="14"/>
        <v>0</v>
      </c>
      <c r="AH24" s="242">
        <f t="shared" si="14"/>
        <v>0</v>
      </c>
      <c r="AI24" s="242">
        <f t="shared" si="14"/>
        <v>0</v>
      </c>
      <c r="AJ24" s="242">
        <f t="shared" si="14"/>
        <v>0</v>
      </c>
      <c r="AK24" s="244">
        <f t="shared" si="14"/>
        <v>0</v>
      </c>
      <c r="AL24" s="245">
        <f t="shared" si="14"/>
        <v>0</v>
      </c>
      <c r="AM24" s="242">
        <f t="shared" si="14"/>
        <v>0</v>
      </c>
      <c r="AN24" s="242">
        <f t="shared" si="14"/>
        <v>0</v>
      </c>
      <c r="AO24" s="242">
        <f t="shared" si="14"/>
        <v>0</v>
      </c>
      <c r="AP24" s="242">
        <f t="shared" si="14"/>
        <v>0</v>
      </c>
      <c r="AQ24" s="242">
        <f t="shared" si="14"/>
        <v>0</v>
      </c>
      <c r="AR24" s="242">
        <f t="shared" si="14"/>
        <v>0</v>
      </c>
      <c r="AS24" s="242">
        <f t="shared" si="14"/>
        <v>0</v>
      </c>
      <c r="AT24" s="242">
        <f t="shared" si="14"/>
        <v>0</v>
      </c>
      <c r="AU24" s="243">
        <f t="shared" si="14"/>
        <v>0</v>
      </c>
      <c r="AV24" s="168"/>
      <c r="AX24" s="236"/>
      <c r="AY24" s="157" t="s">
        <v>72</v>
      </c>
      <c r="AZ24" s="169">
        <v>0.4</v>
      </c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105"/>
      <c r="BL24" s="105"/>
    </row>
    <row r="25" ht="21.0" customHeight="1">
      <c r="A25" s="105"/>
      <c r="B25" s="246">
        <v>4.0</v>
      </c>
      <c r="C25" s="137"/>
      <c r="D25" s="247" t="s">
        <v>73</v>
      </c>
      <c r="G25" s="248" t="s">
        <v>74</v>
      </c>
      <c r="H25" s="140"/>
      <c r="I25" s="249">
        <f t="shared" ref="I25:AU25" si="15">I13-I20-I24</f>
        <v>0</v>
      </c>
      <c r="J25" s="250">
        <f t="shared" si="15"/>
        <v>-62.5</v>
      </c>
      <c r="K25" s="250">
        <f t="shared" si="15"/>
        <v>-125</v>
      </c>
      <c r="L25" s="250">
        <f t="shared" si="15"/>
        <v>-2680.769231</v>
      </c>
      <c r="M25" s="250">
        <f t="shared" si="15"/>
        <v>-62.5</v>
      </c>
      <c r="N25" s="250">
        <f t="shared" si="15"/>
        <v>-975</v>
      </c>
      <c r="O25" s="250">
        <f t="shared" si="15"/>
        <v>-1960.576923</v>
      </c>
      <c r="P25" s="250">
        <f t="shared" si="15"/>
        <v>-62.5</v>
      </c>
      <c r="Q25" s="250">
        <f t="shared" si="15"/>
        <v>-125</v>
      </c>
      <c r="R25" s="250">
        <f t="shared" si="15"/>
        <v>-2635.576923</v>
      </c>
      <c r="S25" s="250">
        <f t="shared" si="15"/>
        <v>0</v>
      </c>
      <c r="T25" s="250">
        <f t="shared" si="15"/>
        <v>0</v>
      </c>
      <c r="U25" s="250">
        <f t="shared" si="15"/>
        <v>0</v>
      </c>
      <c r="V25" s="250">
        <f t="shared" si="15"/>
        <v>0</v>
      </c>
      <c r="W25" s="251">
        <f t="shared" si="15"/>
        <v>0</v>
      </c>
      <c r="X25" s="252">
        <f t="shared" si="15"/>
        <v>0</v>
      </c>
      <c r="Y25" s="250">
        <f t="shared" si="15"/>
        <v>-175</v>
      </c>
      <c r="Z25" s="250">
        <f t="shared" si="15"/>
        <v>-162.5</v>
      </c>
      <c r="AA25" s="250">
        <f t="shared" si="15"/>
        <v>-5894.230769</v>
      </c>
      <c r="AB25" s="250">
        <f t="shared" si="15"/>
        <v>-312.5</v>
      </c>
      <c r="AC25" s="250">
        <f t="shared" si="15"/>
        <v>-2037.5</v>
      </c>
      <c r="AD25" s="250">
        <f t="shared" si="15"/>
        <v>-2098.076923</v>
      </c>
      <c r="AE25" s="250">
        <f t="shared" si="15"/>
        <v>-271.875</v>
      </c>
      <c r="AF25" s="250">
        <f t="shared" si="15"/>
        <v>-1050</v>
      </c>
      <c r="AG25" s="250">
        <f t="shared" si="15"/>
        <v>-2923.076923</v>
      </c>
      <c r="AH25" s="250">
        <f t="shared" si="15"/>
        <v>-125</v>
      </c>
      <c r="AI25" s="250">
        <f t="shared" si="15"/>
        <v>-25</v>
      </c>
      <c r="AJ25" s="250">
        <f t="shared" si="15"/>
        <v>-212.5</v>
      </c>
      <c r="AK25" s="251">
        <f t="shared" si="15"/>
        <v>-400</v>
      </c>
      <c r="AL25" s="252">
        <f t="shared" si="15"/>
        <v>16421.92222</v>
      </c>
      <c r="AM25" s="250">
        <f t="shared" si="15"/>
        <v>-453.0777778</v>
      </c>
      <c r="AN25" s="250">
        <f t="shared" si="15"/>
        <v>946.9222222</v>
      </c>
      <c r="AO25" s="250">
        <f t="shared" si="15"/>
        <v>20804.13376</v>
      </c>
      <c r="AP25" s="250">
        <f t="shared" si="15"/>
        <v>-615.5777778</v>
      </c>
      <c r="AQ25" s="250">
        <f t="shared" si="15"/>
        <v>-2278.077778</v>
      </c>
      <c r="AR25" s="250">
        <f t="shared" si="15"/>
        <v>-2638.654701</v>
      </c>
      <c r="AS25" s="250">
        <f t="shared" si="15"/>
        <v>-621.8277778</v>
      </c>
      <c r="AT25" s="250">
        <f t="shared" si="15"/>
        <v>-53.07777778</v>
      </c>
      <c r="AU25" s="253">
        <f t="shared" si="15"/>
        <v>-2551.154701</v>
      </c>
      <c r="AV25" s="134"/>
      <c r="AW25" s="254"/>
      <c r="AX25" s="236"/>
      <c r="AY25" s="157" t="s">
        <v>75</v>
      </c>
      <c r="AZ25" s="169">
        <v>0.1686</v>
      </c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105"/>
      <c r="BL25" s="105"/>
    </row>
    <row r="26" ht="21.0" customHeight="1">
      <c r="A26" s="105"/>
      <c r="B26" s="255"/>
      <c r="C26" s="256"/>
      <c r="D26" s="257"/>
      <c r="E26" s="257"/>
      <c r="F26" s="257"/>
      <c r="G26" s="258" t="s">
        <v>76</v>
      </c>
      <c r="H26" s="259"/>
      <c r="I26" s="260">
        <f t="shared" ref="I26:AU26" si="16">sum($I$25:I$25)</f>
        <v>0</v>
      </c>
      <c r="J26" s="261">
        <f t="shared" si="16"/>
        <v>-62.5</v>
      </c>
      <c r="K26" s="261">
        <f t="shared" si="16"/>
        <v>-187.5</v>
      </c>
      <c r="L26" s="261">
        <f t="shared" si="16"/>
        <v>-2868.269231</v>
      </c>
      <c r="M26" s="261">
        <f t="shared" si="16"/>
        <v>-2930.769231</v>
      </c>
      <c r="N26" s="261">
        <f t="shared" si="16"/>
        <v>-3905.769231</v>
      </c>
      <c r="O26" s="261">
        <f t="shared" si="16"/>
        <v>-5866.346154</v>
      </c>
      <c r="P26" s="261">
        <f t="shared" si="16"/>
        <v>-5928.846154</v>
      </c>
      <c r="Q26" s="261">
        <f t="shared" si="16"/>
        <v>-6053.846154</v>
      </c>
      <c r="R26" s="261">
        <f t="shared" si="16"/>
        <v>-8689.423077</v>
      </c>
      <c r="S26" s="261">
        <f t="shared" si="16"/>
        <v>-8689.423077</v>
      </c>
      <c r="T26" s="261">
        <f t="shared" si="16"/>
        <v>-8689.423077</v>
      </c>
      <c r="U26" s="261">
        <f t="shared" si="16"/>
        <v>-8689.423077</v>
      </c>
      <c r="V26" s="261">
        <f t="shared" si="16"/>
        <v>-8689.423077</v>
      </c>
      <c r="W26" s="262">
        <f t="shared" si="16"/>
        <v>-8689.423077</v>
      </c>
      <c r="X26" s="260">
        <f t="shared" si="16"/>
        <v>-8689.423077</v>
      </c>
      <c r="Y26" s="261">
        <f t="shared" si="16"/>
        <v>-8864.423077</v>
      </c>
      <c r="Z26" s="261">
        <f t="shared" si="16"/>
        <v>-9026.923077</v>
      </c>
      <c r="AA26" s="261">
        <f t="shared" si="16"/>
        <v>-14921.15385</v>
      </c>
      <c r="AB26" s="261">
        <f t="shared" si="16"/>
        <v>-15233.65385</v>
      </c>
      <c r="AC26" s="261">
        <f t="shared" si="16"/>
        <v>-17271.15385</v>
      </c>
      <c r="AD26" s="261">
        <f t="shared" si="16"/>
        <v>-19369.23077</v>
      </c>
      <c r="AE26" s="261">
        <f t="shared" si="16"/>
        <v>-19641.10577</v>
      </c>
      <c r="AF26" s="261">
        <f t="shared" si="16"/>
        <v>-20691.10577</v>
      </c>
      <c r="AG26" s="261">
        <f t="shared" si="16"/>
        <v>-23614.18269</v>
      </c>
      <c r="AH26" s="261">
        <f t="shared" si="16"/>
        <v>-23739.18269</v>
      </c>
      <c r="AI26" s="261">
        <f t="shared" si="16"/>
        <v>-23764.18269</v>
      </c>
      <c r="AJ26" s="261">
        <f t="shared" si="16"/>
        <v>-23976.68269</v>
      </c>
      <c r="AK26" s="262">
        <f t="shared" si="16"/>
        <v>-24376.68269</v>
      </c>
      <c r="AL26" s="263">
        <f t="shared" si="16"/>
        <v>-7954.76047</v>
      </c>
      <c r="AM26" s="261">
        <f t="shared" si="16"/>
        <v>-8407.838248</v>
      </c>
      <c r="AN26" s="261">
        <f t="shared" si="16"/>
        <v>-7460.916026</v>
      </c>
      <c r="AO26" s="261">
        <f t="shared" si="16"/>
        <v>13343.21774</v>
      </c>
      <c r="AP26" s="261">
        <f t="shared" si="16"/>
        <v>12727.63996</v>
      </c>
      <c r="AQ26" s="261">
        <f t="shared" si="16"/>
        <v>10449.56218</v>
      </c>
      <c r="AR26" s="261">
        <f t="shared" si="16"/>
        <v>7810.907479</v>
      </c>
      <c r="AS26" s="261">
        <f t="shared" si="16"/>
        <v>7189.079701</v>
      </c>
      <c r="AT26" s="261">
        <f t="shared" si="16"/>
        <v>7136.001923</v>
      </c>
      <c r="AU26" s="262">
        <f t="shared" si="16"/>
        <v>4584.847222</v>
      </c>
      <c r="AV26" s="134"/>
      <c r="AW26" s="254"/>
      <c r="AX26" s="236"/>
      <c r="AY26" s="157" t="s">
        <v>77</v>
      </c>
      <c r="AZ26" s="169">
        <f>AZ25/54</f>
        <v>0.003122222222</v>
      </c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105"/>
      <c r="BL26" s="105"/>
    </row>
    <row r="27" ht="21.0" customHeight="1">
      <c r="A27" s="105"/>
      <c r="B27" s="264"/>
      <c r="C27" s="265"/>
      <c r="D27" s="266"/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M27" s="266"/>
      <c r="AN27" s="247" t="s">
        <v>78</v>
      </c>
      <c r="AR27" s="267">
        <f>Sum(AV11:AV12)</f>
        <v>48500</v>
      </c>
      <c r="AS27" s="255"/>
      <c r="AT27" s="255"/>
      <c r="AU27" s="133"/>
      <c r="AV27" s="134"/>
      <c r="AW27" s="254"/>
      <c r="AX27" s="236"/>
      <c r="AY27" s="268"/>
      <c r="AZ27" s="269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105"/>
      <c r="BL27" s="105"/>
    </row>
    <row r="28" ht="21.0" customHeight="1">
      <c r="A28" s="105"/>
      <c r="C28" s="265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47" t="s">
        <v>79</v>
      </c>
      <c r="AR28" s="267">
        <f>-Sum(AV14:AV19)</f>
        <v>-43915.15278</v>
      </c>
      <c r="AS28" s="255"/>
      <c r="AT28" s="255"/>
      <c r="AU28" s="133"/>
      <c r="AV28" s="134"/>
      <c r="AW28" s="105"/>
      <c r="AX28" s="236"/>
      <c r="AY28" s="270"/>
      <c r="AZ28" s="271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105"/>
      <c r="BL28" s="105"/>
    </row>
    <row r="29" ht="21.0" customHeight="1">
      <c r="A29" s="105"/>
      <c r="C29" s="265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M29" s="266"/>
      <c r="AN29" s="247" t="s">
        <v>80</v>
      </c>
      <c r="AR29" s="267">
        <f>AR27+AR28</f>
        <v>4584.847222</v>
      </c>
      <c r="AS29" s="255"/>
      <c r="AT29" s="255"/>
      <c r="AU29" s="133"/>
      <c r="AV29" s="134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105"/>
      <c r="BL29" s="105"/>
    </row>
    <row r="30" ht="21.0" customHeight="1">
      <c r="A30" s="105"/>
      <c r="B30" s="105"/>
      <c r="C30" s="105"/>
      <c r="D30" s="105"/>
      <c r="E30" s="105"/>
      <c r="F30" s="105"/>
      <c r="G30" s="105"/>
      <c r="H30" s="272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105"/>
      <c r="BL30" s="105"/>
    </row>
    <row r="31" ht="21.0" customHeight="1">
      <c r="A31" s="105"/>
      <c r="B31" s="105"/>
      <c r="C31" s="105"/>
      <c r="D31" s="105"/>
      <c r="E31" s="105"/>
      <c r="F31" s="105"/>
      <c r="G31" s="105"/>
      <c r="H31" s="272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W31" s="105"/>
      <c r="AX31" s="236"/>
      <c r="AY31" s="236"/>
      <c r="AZ31" s="236"/>
      <c r="BA31" s="236"/>
      <c r="BB31" s="236"/>
      <c r="BC31" s="236"/>
      <c r="BD31" s="236"/>
      <c r="BE31" s="236"/>
      <c r="BF31" s="236"/>
      <c r="BG31" s="236"/>
      <c r="BH31" s="236"/>
      <c r="BI31" s="236"/>
      <c r="BJ31" s="236"/>
      <c r="BK31" s="105"/>
      <c r="BL31" s="105"/>
    </row>
    <row r="32" ht="21.0" customHeight="1">
      <c r="A32" s="105"/>
      <c r="B32" s="105"/>
      <c r="C32" s="105"/>
      <c r="D32" s="105"/>
      <c r="E32" s="105"/>
      <c r="F32" s="105"/>
      <c r="G32" s="105"/>
      <c r="H32" s="272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X32" s="105"/>
      <c r="AY32" s="273"/>
      <c r="AZ32" s="273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ht="21.0" customHeight="1">
      <c r="A33" s="105"/>
      <c r="B33" s="105"/>
      <c r="C33" s="105"/>
      <c r="D33" s="105"/>
      <c r="E33" s="105"/>
      <c r="F33" s="105"/>
      <c r="G33" s="105"/>
      <c r="H33" s="272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</row>
    <row r="34" ht="21.0" customHeight="1">
      <c r="A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</row>
    <row r="35" ht="21.0" customHeight="1">
      <c r="A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</row>
  </sheetData>
  <mergeCells count="45">
    <mergeCell ref="AN28:AQ28"/>
    <mergeCell ref="AR28:AU28"/>
    <mergeCell ref="AN29:AQ29"/>
    <mergeCell ref="AR29:AU29"/>
    <mergeCell ref="X8:AK8"/>
    <mergeCell ref="AL8:AU8"/>
    <mergeCell ref="AW8:AW24"/>
    <mergeCell ref="AV9:AV10"/>
    <mergeCell ref="BA9:BE9"/>
    <mergeCell ref="AN27:AQ27"/>
    <mergeCell ref="AR27:AU27"/>
    <mergeCell ref="B2:F2"/>
    <mergeCell ref="I2:N2"/>
    <mergeCell ref="I4:O4"/>
    <mergeCell ref="P4:T4"/>
    <mergeCell ref="I5:O5"/>
    <mergeCell ref="P5:T5"/>
    <mergeCell ref="I8:W8"/>
    <mergeCell ref="D11:F13"/>
    <mergeCell ref="D14:F20"/>
    <mergeCell ref="D21:F24"/>
    <mergeCell ref="D25:F26"/>
    <mergeCell ref="G14:H14"/>
    <mergeCell ref="G15:H1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G26:H26"/>
    <mergeCell ref="B14:B20"/>
    <mergeCell ref="B21:B24"/>
    <mergeCell ref="B25:B26"/>
    <mergeCell ref="B27:B29"/>
    <mergeCell ref="G9:H9"/>
    <mergeCell ref="G10:H10"/>
    <mergeCell ref="B11:B13"/>
    <mergeCell ref="G11:H11"/>
    <mergeCell ref="G12:H12"/>
    <mergeCell ref="G13:H13"/>
    <mergeCell ref="G20:H20"/>
  </mergeCells>
  <conditionalFormatting sqref="AN18">
    <cfRule type="notContainsBlanks" dxfId="3" priority="1">
      <formula>LEN(TRIM(AN18))&gt;0</formula>
    </cfRule>
  </conditionalFormatting>
  <printOptions gridLines="1"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4" max="4" width="40.5"/>
    <col customWidth="1" min="5" max="5" width="3.13"/>
    <col customWidth="1" min="6" max="6" width="23.38"/>
    <col customWidth="1" min="7" max="7" width="17.13"/>
    <col customWidth="1" min="8" max="8" width="5.13"/>
  </cols>
  <sheetData>
    <row r="1" ht="6.0" customHeight="1">
      <c r="A1" s="274"/>
      <c r="B1" s="274"/>
      <c r="C1" s="274"/>
      <c r="D1" s="274"/>
      <c r="E1" s="274"/>
      <c r="F1" s="275"/>
      <c r="G1" s="275"/>
      <c r="H1" s="274"/>
    </row>
    <row r="2" ht="19.5" customHeight="1">
      <c r="A2" s="276"/>
      <c r="B2" s="276"/>
      <c r="C2" s="276"/>
      <c r="D2" s="276"/>
      <c r="E2" s="276"/>
      <c r="F2" s="277"/>
      <c r="G2" s="277"/>
      <c r="H2" s="276"/>
    </row>
    <row r="3" ht="19.5" customHeight="1">
      <c r="A3" s="278"/>
      <c r="B3" s="279" t="s">
        <v>81</v>
      </c>
      <c r="C3" s="280"/>
      <c r="D3" s="281"/>
      <c r="E3" s="280"/>
      <c r="F3" s="280"/>
      <c r="G3" s="282"/>
      <c r="H3" s="278"/>
    </row>
    <row r="4" ht="19.5" customHeight="1">
      <c r="A4" s="276"/>
      <c r="B4" s="283"/>
      <c r="C4" s="276"/>
      <c r="D4" s="276"/>
      <c r="E4" s="276"/>
      <c r="F4" s="277"/>
      <c r="G4" s="277"/>
      <c r="H4" s="276"/>
    </row>
    <row r="5" ht="30.75" customHeight="1">
      <c r="A5" s="284"/>
      <c r="B5" s="285" t="s">
        <v>82</v>
      </c>
      <c r="C5" s="286"/>
      <c r="D5" s="286"/>
      <c r="E5" s="286"/>
      <c r="F5" s="286"/>
      <c r="G5" s="287"/>
      <c r="H5" s="276"/>
    </row>
    <row r="6" ht="4.5" customHeight="1">
      <c r="A6" s="288"/>
      <c r="B6" s="289"/>
      <c r="C6" s="289"/>
      <c r="D6" s="289"/>
      <c r="E6" s="289"/>
      <c r="F6" s="290"/>
      <c r="G6" s="289"/>
      <c r="H6" s="291"/>
    </row>
    <row r="7" ht="19.5" customHeight="1">
      <c r="A7" s="291"/>
      <c r="B7" s="291"/>
      <c r="C7" s="291"/>
      <c r="D7" s="291"/>
      <c r="E7" s="291"/>
      <c r="F7" s="292" t="s">
        <v>5</v>
      </c>
      <c r="G7" s="293"/>
      <c r="H7" s="291"/>
    </row>
    <row r="8" ht="19.5" customHeight="1">
      <c r="A8" s="291"/>
      <c r="B8" s="291"/>
      <c r="C8" s="291"/>
      <c r="D8" s="291"/>
      <c r="E8" s="291"/>
      <c r="F8" s="294" t="str">
        <f t="array" ref="F8:F10">'Financial Summary Report'!B16:B18</f>
        <v>Module Contract Trade out</v>
      </c>
      <c r="G8" s="295">
        <f t="array" ref="G8:G10">'Financial Summary Report'!H16:H18</f>
        <v>6000</v>
      </c>
      <c r="H8" s="291"/>
    </row>
    <row r="9" ht="19.5" customHeight="1">
      <c r="A9" s="291"/>
      <c r="B9" s="291"/>
      <c r="C9" s="291"/>
      <c r="D9" s="291"/>
      <c r="E9" s="291"/>
      <c r="F9" s="294" t="s">
        <v>13</v>
      </c>
      <c r="G9" s="295">
        <v>42500.0</v>
      </c>
      <c r="H9" s="291"/>
    </row>
    <row r="10" ht="19.5" customHeight="1">
      <c r="A10" s="291"/>
      <c r="B10" s="291"/>
      <c r="C10" s="291"/>
      <c r="D10" s="291"/>
      <c r="E10" s="291"/>
      <c r="F10" s="292"/>
      <c r="G10" s="295"/>
      <c r="H10" s="291"/>
    </row>
    <row r="11" ht="19.5" customHeight="1">
      <c r="A11" s="291"/>
      <c r="B11" s="291"/>
      <c r="C11" s="291"/>
      <c r="D11" s="291"/>
      <c r="E11" s="291"/>
      <c r="F11" s="292" t="s">
        <v>83</v>
      </c>
      <c r="G11" s="296"/>
      <c r="H11" s="291"/>
    </row>
    <row r="12" ht="19.5" customHeight="1">
      <c r="A12" s="291"/>
      <c r="B12" s="291"/>
      <c r="C12" s="297"/>
      <c r="D12" s="291"/>
      <c r="E12" s="291"/>
      <c r="F12" s="298" t="str">
        <f t="array" ref="F12:F17">'Financial Summary Report'!B22:B27</f>
        <v>Staff Salary</v>
      </c>
      <c r="G12" s="295">
        <f t="array" ref="G12:G17">'Financial Summary Report'!H22:H27</f>
        <v>8359.375</v>
      </c>
      <c r="H12" s="297"/>
    </row>
    <row r="13" ht="19.5" customHeight="1">
      <c r="A13" s="291"/>
      <c r="B13" s="291"/>
      <c r="C13" s="291"/>
      <c r="D13" s="291"/>
      <c r="E13" s="291"/>
      <c r="F13" s="298" t="s">
        <v>18</v>
      </c>
      <c r="G13" s="295">
        <v>24675.000000000004</v>
      </c>
      <c r="H13" s="291"/>
    </row>
    <row r="14" ht="19.5" customHeight="1">
      <c r="A14" s="291"/>
      <c r="B14" s="291"/>
      <c r="C14" s="299"/>
      <c r="D14" s="299"/>
      <c r="E14" s="291"/>
      <c r="F14" s="298" t="s">
        <v>20</v>
      </c>
      <c r="G14" s="295">
        <v>3900.0</v>
      </c>
      <c r="H14" s="291"/>
    </row>
    <row r="15" ht="19.5" customHeight="1">
      <c r="A15" s="291"/>
      <c r="B15" s="291"/>
      <c r="C15" s="291"/>
      <c r="D15" s="291"/>
      <c r="E15" s="291"/>
      <c r="F15" s="298" t="s">
        <v>22</v>
      </c>
      <c r="G15" s="295">
        <v>1950.0</v>
      </c>
      <c r="H15" s="291"/>
    </row>
    <row r="16" ht="19.5" customHeight="1">
      <c r="A16" s="300"/>
      <c r="B16" s="291"/>
      <c r="C16" s="291"/>
      <c r="D16" s="301"/>
      <c r="E16" s="301"/>
      <c r="F16" s="298" t="s">
        <v>24</v>
      </c>
      <c r="G16" s="295">
        <v>3750.0</v>
      </c>
      <c r="H16" s="291"/>
    </row>
    <row r="17" ht="19.5" customHeight="1">
      <c r="A17" s="291"/>
      <c r="B17" s="291"/>
      <c r="C17" s="291"/>
      <c r="D17" s="291"/>
      <c r="E17" s="291"/>
      <c r="F17" s="298" t="s">
        <v>26</v>
      </c>
      <c r="G17" s="295">
        <v>1280.7777777777778</v>
      </c>
      <c r="H17" s="291"/>
    </row>
    <row r="18" ht="19.5" customHeight="1">
      <c r="A18" s="291"/>
      <c r="B18" s="291"/>
      <c r="C18" s="291"/>
      <c r="D18" s="291"/>
      <c r="E18" s="291"/>
      <c r="F18" s="294"/>
      <c r="G18" s="296"/>
      <c r="H18" s="291"/>
    </row>
    <row r="19" ht="1.5" customHeight="1">
      <c r="A19" s="291"/>
      <c r="B19" s="302"/>
      <c r="C19" s="303"/>
      <c r="D19" s="303"/>
      <c r="E19" s="303"/>
      <c r="F19" s="304"/>
      <c r="G19" s="305"/>
      <c r="H19" s="291"/>
    </row>
    <row r="20" ht="1.5" customHeight="1">
      <c r="A20" s="291"/>
      <c r="B20" s="302"/>
      <c r="C20" s="303"/>
      <c r="D20" s="303"/>
      <c r="E20" s="303"/>
      <c r="F20" s="304"/>
      <c r="G20" s="305"/>
      <c r="H20" s="291"/>
    </row>
    <row r="21" ht="1.5" customHeight="1">
      <c r="A21" s="291"/>
      <c r="B21" s="302"/>
      <c r="C21" s="303"/>
      <c r="D21" s="303"/>
      <c r="E21" s="303"/>
      <c r="F21" s="304"/>
      <c r="G21" s="305"/>
      <c r="H21" s="291"/>
    </row>
    <row r="22" ht="1.5" customHeight="1">
      <c r="A22" s="291"/>
      <c r="B22" s="302"/>
      <c r="C22" s="303"/>
      <c r="D22" s="303"/>
      <c r="E22" s="303"/>
      <c r="F22" s="304"/>
      <c r="G22" s="305"/>
      <c r="H22" s="291"/>
    </row>
    <row r="23" ht="1.5" customHeight="1">
      <c r="A23" s="291"/>
      <c r="B23" s="302"/>
      <c r="C23" s="303"/>
      <c r="D23" s="303"/>
      <c r="E23" s="303"/>
      <c r="F23" s="304"/>
      <c r="G23" s="305"/>
      <c r="H23" s="291"/>
    </row>
    <row r="24" ht="1.5" customHeight="1">
      <c r="A24" s="291"/>
      <c r="B24" s="302"/>
      <c r="C24" s="303"/>
      <c r="D24" s="303"/>
      <c r="E24" s="303"/>
      <c r="F24" s="304"/>
      <c r="G24" s="305"/>
      <c r="H24" s="291"/>
    </row>
    <row r="25" ht="1.5" customHeight="1">
      <c r="A25" s="291"/>
      <c r="B25" s="302"/>
      <c r="C25" s="303"/>
      <c r="D25" s="303"/>
      <c r="E25" s="303"/>
      <c r="F25" s="304"/>
      <c r="G25" s="305"/>
      <c r="H25" s="291"/>
    </row>
    <row r="26" ht="30.0" customHeight="1">
      <c r="A26" s="284"/>
      <c r="B26" s="306" t="s">
        <v>84</v>
      </c>
      <c r="C26" s="286"/>
      <c r="D26" s="286"/>
      <c r="E26" s="286"/>
      <c r="F26" s="286"/>
      <c r="G26" s="287"/>
      <c r="H26" s="276"/>
    </row>
    <row r="27" ht="4.5" customHeight="1">
      <c r="A27" s="291"/>
      <c r="B27" s="307"/>
      <c r="C27" s="307"/>
      <c r="D27" s="307"/>
      <c r="E27" s="307"/>
      <c r="F27" s="308"/>
      <c r="G27" s="308"/>
      <c r="H27" s="291"/>
    </row>
    <row r="28" ht="19.5" customHeight="1">
      <c r="A28" s="291"/>
      <c r="B28" s="309"/>
      <c r="C28" s="310"/>
      <c r="D28" s="307"/>
      <c r="E28" s="307"/>
      <c r="F28" s="308"/>
      <c r="G28" s="308"/>
      <c r="H28" s="291"/>
    </row>
    <row r="29" ht="19.5" customHeight="1">
      <c r="A29" s="291"/>
      <c r="B29" s="293"/>
      <c r="C29" s="293"/>
      <c r="D29" s="291"/>
      <c r="E29" s="291"/>
      <c r="F29" s="311"/>
      <c r="G29" s="312" t="s">
        <v>28</v>
      </c>
      <c r="H29" s="291"/>
    </row>
    <row r="30" ht="19.5" customHeight="1">
      <c r="A30" s="291"/>
      <c r="B30" s="293"/>
      <c r="C30" s="293"/>
      <c r="D30" s="291"/>
      <c r="E30" s="291"/>
      <c r="F30" s="311" t="s">
        <v>85</v>
      </c>
      <c r="G30" s="313">
        <f>'Financial Summary Report'!E19-'Financial Summary Report'!E28</f>
        <v>-8689.423077</v>
      </c>
      <c r="H30" s="291"/>
    </row>
    <row r="31" ht="19.5" customHeight="1">
      <c r="A31" s="291"/>
      <c r="B31" s="293"/>
      <c r="C31" s="293"/>
      <c r="D31" s="299"/>
      <c r="E31" s="291"/>
      <c r="F31" s="311" t="s">
        <v>86</v>
      </c>
      <c r="G31" s="313">
        <f>'Financial Summary Report'!F19-'Financial Summary Report'!F28+G30</f>
        <v>-24376.68269</v>
      </c>
      <c r="H31" s="291"/>
    </row>
    <row r="32" ht="19.5" customHeight="1">
      <c r="A32" s="291"/>
      <c r="B32" s="293"/>
      <c r="C32" s="293"/>
      <c r="D32" s="299"/>
      <c r="E32" s="291"/>
      <c r="F32" s="311" t="s">
        <v>87</v>
      </c>
      <c r="G32" s="313">
        <f>'Financial Summary Report'!G19-'Financial Summary Report'!G28+G31</f>
        <v>4584.847222</v>
      </c>
      <c r="H32" s="291"/>
    </row>
    <row r="33" ht="19.5" customHeight="1">
      <c r="A33" s="291"/>
      <c r="B33" s="293"/>
      <c r="C33" s="293"/>
      <c r="D33" s="299"/>
      <c r="E33" s="291"/>
      <c r="F33" s="314"/>
      <c r="G33" s="297"/>
      <c r="H33" s="291"/>
    </row>
    <row r="34" ht="19.5" customHeight="1">
      <c r="A34" s="291"/>
      <c r="B34" s="291"/>
      <c r="C34" s="291"/>
      <c r="D34" s="291"/>
      <c r="E34" s="291"/>
      <c r="F34" s="314"/>
      <c r="G34" s="315"/>
      <c r="H34" s="291"/>
    </row>
    <row r="35" ht="19.5" customHeight="1">
      <c r="A35" s="291"/>
      <c r="B35" s="291"/>
      <c r="C35" s="291"/>
      <c r="D35" s="291"/>
      <c r="E35" s="291"/>
      <c r="F35" s="296"/>
      <c r="G35" s="296"/>
      <c r="H35" s="291"/>
    </row>
    <row r="36" ht="19.5" customHeight="1">
      <c r="A36" s="291"/>
      <c r="B36" s="291"/>
      <c r="C36" s="291"/>
      <c r="D36" s="291"/>
      <c r="E36" s="291"/>
      <c r="F36" s="296"/>
      <c r="G36" s="296"/>
      <c r="H36" s="291"/>
    </row>
    <row r="37" ht="19.5" customHeight="1">
      <c r="A37" s="291"/>
      <c r="B37" s="291"/>
      <c r="C37" s="291"/>
      <c r="D37" s="291"/>
      <c r="E37" s="291"/>
      <c r="F37" s="296"/>
      <c r="G37" s="296"/>
      <c r="H37" s="291"/>
    </row>
    <row r="38" ht="19.5" customHeight="1">
      <c r="A38" s="291"/>
      <c r="B38" s="291"/>
      <c r="C38" s="291"/>
      <c r="D38" s="291"/>
      <c r="E38" s="291"/>
      <c r="F38" s="296"/>
      <c r="G38" s="296"/>
      <c r="H38" s="291"/>
    </row>
    <row r="39" ht="19.5" customHeight="1">
      <c r="A39" s="291"/>
      <c r="B39" s="291"/>
      <c r="C39" s="291"/>
      <c r="D39" s="291"/>
      <c r="E39" s="291"/>
      <c r="F39" s="296"/>
      <c r="G39" s="296"/>
      <c r="H39" s="291"/>
    </row>
  </sheetData>
  <mergeCells count="2">
    <mergeCell ref="B3:C3"/>
    <mergeCell ref="D3:G3"/>
  </mergeCells>
  <drawing r:id="rId1"/>
</worksheet>
</file>