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Business Plan" sheetId="1" r:id="rId3"/>
    <sheet state="hidden" name="Time Sheet" sheetId="2" r:id="rId4"/>
    <sheet state="hidden" name="Overhead Recovery(old)" sheetId="3" r:id="rId5"/>
    <sheet state="visible" name="Overhead Recovery" sheetId="4" r:id="rId6"/>
    <sheet state="hidden" name="Labour Pay" sheetId="5" r:id="rId7"/>
    <sheet state="hidden" name="Labour Pay(old)" sheetId="6" r:id="rId8"/>
    <sheet state="hidden" name="Marketing and Sales Strategies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9">
      <text>
        <t xml:space="preserve">1,400 sq ft
X
£23.50 per sq ft per annum
/
52 weeks a year</t>
      </text>
    </comment>
    <comment authorId="0" ref="AN20">
      <text>
        <t xml:space="preserve">On hold - failed to deliver </t>
      </text>
    </comment>
    <comment authorId="0" ref="AO20">
      <text>
        <t xml:space="preserve">On hold - module not yet accepted </t>
      </text>
    </comment>
    <comment authorId="0" ref="AZ26">
      <text>
        <t xml:space="preserve">APR/54 weeks</t>
      </text>
    </comment>
  </commentList>
</comments>
</file>

<file path=xl/sharedStrings.xml><?xml version="1.0" encoding="utf-8"?>
<sst xmlns="http://schemas.openxmlformats.org/spreadsheetml/2006/main" count="397" uniqueCount="230">
  <si>
    <t>Financial Business Plan</t>
  </si>
  <si>
    <t>PROJECT TITLE</t>
  </si>
  <si>
    <t>SuperPres</t>
  </si>
  <si>
    <t>COMPANY NAME</t>
  </si>
  <si>
    <t>SwEng Group 3</t>
  </si>
  <si>
    <t>BUSINESS MENTOR</t>
  </si>
  <si>
    <t>Tony Ward</t>
  </si>
  <si>
    <t>DATE</t>
  </si>
  <si>
    <t>PHASE</t>
  </si>
  <si>
    <t>DETAILS</t>
  </si>
  <si>
    <t>Term 1</t>
  </si>
  <si>
    <t>Term 2</t>
  </si>
  <si>
    <t>Term 3</t>
  </si>
  <si>
    <t>Project End</t>
  </si>
  <si>
    <t>Week</t>
  </si>
  <si>
    <t>Sectional Sum</t>
  </si>
  <si>
    <t>Topics</t>
  </si>
  <si>
    <t>Date</t>
  </si>
  <si>
    <t>Revenue</t>
  </si>
  <si>
    <t>- Individual Subscription (Monthly)</t>
  </si>
  <si>
    <t>Module cost =</t>
  </si>
  <si>
    <t>- External Contract (Annual)</t>
  </si>
  <si>
    <t>Number of module =</t>
  </si>
  <si>
    <t>- Company Business Loan</t>
  </si>
  <si>
    <t>Module 1st stage =</t>
  </si>
  <si>
    <t>- Module Right Agreement</t>
  </si>
  <si>
    <t>Module 2nd stage =</t>
  </si>
  <si>
    <t>- Gross Revenue</t>
  </si>
  <si>
    <t>Module 3rd stage =</t>
  </si>
  <si>
    <t>Development Cost</t>
  </si>
  <si>
    <t>- Predicted Labour Pay</t>
  </si>
  <si>
    <t xml:space="preserve">Wage  = </t>
  </si>
  <si>
    <t>- Office Rent</t>
  </si>
  <si>
    <t xml:space="preserve">Number of Labour = </t>
  </si>
  <si>
    <t>- IT Infrastructure</t>
  </si>
  <si>
    <t xml:space="preserve">Estimate Total Hours = </t>
  </si>
  <si>
    <t>- Utilities</t>
  </si>
  <si>
    <t>Weely office rent =</t>
  </si>
  <si>
    <t>- Intellectual Rights from Other Companies</t>
  </si>
  <si>
    <t>Weekly IT Infrastructure charge =</t>
  </si>
  <si>
    <t>- Loan Interest Payment</t>
  </si>
  <si>
    <t>Weekly Utilities charge =</t>
  </si>
  <si>
    <t>- Gross Cost</t>
  </si>
  <si>
    <t>Total Grant =</t>
  </si>
  <si>
    <t>Additional Costs</t>
  </si>
  <si>
    <t>- Maintenance</t>
  </si>
  <si>
    <t>Loan 1st stage =</t>
  </si>
  <si>
    <t>- Updates</t>
  </si>
  <si>
    <t>Loan 2nd stage =</t>
  </si>
  <si>
    <t>- Performance</t>
  </si>
  <si>
    <t>APR =</t>
  </si>
  <si>
    <t>- Gross Additional Expenses</t>
  </si>
  <si>
    <t>Weekly Interest Rate =</t>
  </si>
  <si>
    <t>Summary</t>
  </si>
  <si>
    <t>- Weely Summary</t>
  </si>
  <si>
    <t>- Cumulative Balance</t>
  </si>
  <si>
    <t xml:space="preserve">Project Summative Revenue </t>
  </si>
  <si>
    <t>Project Summative Cost</t>
  </si>
  <si>
    <t>Project Summative Balance</t>
  </si>
  <si>
    <t>Time Sheet</t>
  </si>
  <si>
    <t>David</t>
  </si>
  <si>
    <t>Boris</t>
  </si>
  <si>
    <t>Peter</t>
  </si>
  <si>
    <t>Brandon</t>
  </si>
  <si>
    <t>Sam</t>
  </si>
  <si>
    <t>Alan</t>
  </si>
  <si>
    <t>Pat</t>
  </si>
  <si>
    <t>Akif</t>
  </si>
  <si>
    <t>Totals</t>
  </si>
  <si>
    <t>Term/Weeks</t>
  </si>
  <si>
    <t>Lecture</t>
  </si>
  <si>
    <t>Meetings</t>
  </si>
  <si>
    <t>Production</t>
  </si>
  <si>
    <t>Documentation</t>
  </si>
  <si>
    <t>Term 1/Week 1</t>
  </si>
  <si>
    <t>Term 1/Week 2</t>
  </si>
  <si>
    <t>Term 1/Week 3</t>
  </si>
  <si>
    <t>Term 1/Week 4</t>
  </si>
  <si>
    <t>Term 1/Week 5</t>
  </si>
  <si>
    <t>Term 1/Week 6</t>
  </si>
  <si>
    <t>Term 1/Week 7</t>
  </si>
  <si>
    <t>Term 1/Week 8</t>
  </si>
  <si>
    <t>Term 1/Week 9</t>
  </si>
  <si>
    <t>Term 1/Week 10</t>
  </si>
  <si>
    <t>Term 1/Week 11</t>
  </si>
  <si>
    <t>Term 1/Week 12</t>
  </si>
  <si>
    <t>Term 1/Week 13</t>
  </si>
  <si>
    <t>Term 1/Week 14</t>
  </si>
  <si>
    <t>Term 1/Week 15</t>
  </si>
  <si>
    <t>Term 2/Week 1</t>
  </si>
  <si>
    <t>Term 2/Week 2</t>
  </si>
  <si>
    <t>Term 2/Week 3</t>
  </si>
  <si>
    <t>Term 2/Week 4</t>
  </si>
  <si>
    <t>Term 2/Week 5</t>
  </si>
  <si>
    <t>Term 2/Week 6</t>
  </si>
  <si>
    <t>Term 2/Week 7</t>
  </si>
  <si>
    <t>Term 2/Week 8</t>
  </si>
  <si>
    <t>Term 2/Week 9</t>
  </si>
  <si>
    <t>Term 2/Week 10</t>
  </si>
  <si>
    <t>Term 2/Week 11</t>
  </si>
  <si>
    <t>Term 2/Week 12</t>
  </si>
  <si>
    <t>Term 2/Week 13</t>
  </si>
  <si>
    <t>Term 2/Week 14</t>
  </si>
  <si>
    <t>Term 3/Week 1</t>
  </si>
  <si>
    <t>Term 3/Week 2</t>
  </si>
  <si>
    <t>Term 3/Week 3</t>
  </si>
  <si>
    <t>Term 3/Week 4</t>
  </si>
  <si>
    <t>Term 3/Week 5</t>
  </si>
  <si>
    <t>Term 3/Week 6</t>
  </si>
  <si>
    <t>Term 3/Week 7</t>
  </si>
  <si>
    <t>Term 3/Week 8</t>
  </si>
  <si>
    <t>Term 3/Week 9</t>
  </si>
  <si>
    <t>Term 3/Week 10</t>
  </si>
  <si>
    <t>Total hrs per subject</t>
  </si>
  <si>
    <t>Total hrs</t>
  </si>
  <si>
    <t>Subscription plans</t>
  </si>
  <si>
    <t>Individual base licence</t>
  </si>
  <si>
    <t>Business base licence</t>
  </si>
  <si>
    <t>Educational base licence</t>
  </si>
  <si>
    <t>Online package</t>
  </si>
  <si>
    <t>Extended online package</t>
  </si>
  <si>
    <t>Extended functionality package</t>
  </si>
  <si>
    <t>Predicted Subscription per month</t>
  </si>
  <si>
    <t xml:space="preserve">Subscription per month </t>
  </si>
  <si>
    <t xml:space="preserve">Variance in subscription per month </t>
  </si>
  <si>
    <t>Price of subscription</t>
  </si>
  <si>
    <t>Infrastructure cost per subscription per month</t>
  </si>
  <si>
    <t>Annual sell price per subscription</t>
  </si>
  <si>
    <t>Annual infrastructure cost per subscription</t>
  </si>
  <si>
    <t>Predicted labour hours used</t>
  </si>
  <si>
    <t>Labour hours used</t>
  </si>
  <si>
    <t>Predicted Labour hours per subscription</t>
  </si>
  <si>
    <t>Actual Labour hours per subscription</t>
  </si>
  <si>
    <t>Predicted Gross profit and losses</t>
  </si>
  <si>
    <t>Total</t>
  </si>
  <si>
    <t>Predicted annual gross</t>
  </si>
  <si>
    <t>Predicted annual infrastructure cost</t>
  </si>
  <si>
    <t>Predicted labour cost</t>
  </si>
  <si>
    <t>Predicted overheads cost</t>
  </si>
  <si>
    <t>Predicted net profit</t>
  </si>
  <si>
    <t>Annual sell price of subscription</t>
  </si>
  <si>
    <t>Labour cost per subscription</t>
  </si>
  <si>
    <t>Overhead recovery per subscription</t>
  </si>
  <si>
    <t>Net profit per subscription</t>
  </si>
  <si>
    <t>Annual average number of subscriptions</t>
  </si>
  <si>
    <t>1st Year Net profit</t>
  </si>
  <si>
    <t>1st Year Net profit variance</t>
  </si>
  <si>
    <t>Labour and management data</t>
  </si>
  <si>
    <t>Labour data</t>
  </si>
  <si>
    <t>Management</t>
  </si>
  <si>
    <t>Overhead Costs</t>
  </si>
  <si>
    <t>Predicted hours per person</t>
  </si>
  <si>
    <t>Predicted management costs</t>
  </si>
  <si>
    <t>Number of people</t>
  </si>
  <si>
    <t>Actual Management costs</t>
  </si>
  <si>
    <t>Predicted hours available</t>
  </si>
  <si>
    <t>Space Rental</t>
  </si>
  <si>
    <t>Total hours used</t>
  </si>
  <si>
    <t>IT Infrastructure</t>
  </si>
  <si>
    <t>Wage</t>
  </si>
  <si>
    <t>Utilities</t>
  </si>
  <si>
    <t>Predicted cost</t>
  </si>
  <si>
    <t>IP from other companies</t>
  </si>
  <si>
    <t>Actual cost</t>
  </si>
  <si>
    <t>Predicted Overheads</t>
  </si>
  <si>
    <t>Actual Overheads</t>
  </si>
  <si>
    <t>Overhead recovery per labour hour</t>
  </si>
  <si>
    <t>1st Year</t>
  </si>
  <si>
    <t>2nd Year</t>
  </si>
  <si>
    <t>3rd Year</t>
  </si>
  <si>
    <t>Total Target</t>
  </si>
  <si>
    <t>Predicted balance</t>
  </si>
  <si>
    <t>Gross profit and losses</t>
  </si>
  <si>
    <t>Target subscriptions</t>
  </si>
  <si>
    <t>Annual gross</t>
  </si>
  <si>
    <t>Annual infrastructure cost</t>
  </si>
  <si>
    <t>Labour cost</t>
  </si>
  <si>
    <t>Overheads cost</t>
  </si>
  <si>
    <t>Annual revenue</t>
  </si>
  <si>
    <t>Annual overhead recovery</t>
  </si>
  <si>
    <t>Business Balance</t>
  </si>
  <si>
    <t>Profitable</t>
  </si>
  <si>
    <t>Cumulative</t>
  </si>
  <si>
    <t>Percentage profit</t>
  </si>
  <si>
    <t>2nd Year Net profit</t>
  </si>
  <si>
    <t>2nd Year Net profit variance</t>
  </si>
  <si>
    <t>3rd Year Net profit</t>
  </si>
  <si>
    <t>3rd Year Net profit variance</t>
  </si>
  <si>
    <t>Labour Pay</t>
  </si>
  <si>
    <t>Wage =</t>
  </si>
  <si>
    <t>wage</t>
  </si>
  <si>
    <t>Weekly Sum</t>
  </si>
  <si>
    <t>Total Salary Pay</t>
  </si>
  <si>
    <t>Option</t>
  </si>
  <si>
    <t>Description</t>
  </si>
  <si>
    <t>Pros</t>
  </si>
  <si>
    <t>Cons</t>
  </si>
  <si>
    <t>Comment</t>
  </si>
  <si>
    <t>A</t>
  </si>
  <si>
    <t>Support contracts, ala Red Hat</t>
  </si>
  <si>
    <t>Recurring Revenue</t>
  </si>
  <si>
    <t>Unfamilliar to Windows devs</t>
  </si>
  <si>
    <t>Software can easily be 'free' and/or open</t>
  </si>
  <si>
    <t>Requires users</t>
  </si>
  <si>
    <t xml:space="preserve"> 'open' software gives a large 'community' market for services </t>
  </si>
  <si>
    <t>B</t>
  </si>
  <si>
    <t>Sale of Binary</t>
  </si>
  <si>
    <t>Traditional in Windows-land</t>
  </si>
  <si>
    <t>One-time buy</t>
  </si>
  <si>
    <t>Nobody does it these days</t>
  </si>
  <si>
    <t>C</t>
  </si>
  <si>
    <t>Sale of Sources</t>
  </si>
  <si>
    <t>Unique strategy</t>
  </si>
  <si>
    <t>D</t>
  </si>
  <si>
    <t>Provide custom solutions based on the product</t>
  </si>
  <si>
    <t>Common strategy for modern small businesses</t>
  </si>
  <si>
    <t>High effort</t>
  </si>
  <si>
    <t>Differentiator Vs. larger providors</t>
  </si>
  <si>
    <t>How much can actually be done with product?</t>
  </si>
  <si>
    <t>E</t>
  </si>
  <si>
    <t>Trial period then termly-payment</t>
  </si>
  <si>
    <t>User gain experience to the software and therefore otbain confidence to the product</t>
  </si>
  <si>
    <t>User may drop out after trial</t>
  </si>
  <si>
    <t>Build reliability on user</t>
  </si>
  <si>
    <t>F</t>
  </si>
  <si>
    <t>Free demo and paid expert version (the EA method)</t>
  </si>
  <si>
    <t xml:space="preserve">Only few licence maybe charged </t>
  </si>
  <si>
    <t>DLC avaliable on demand for professional use</t>
  </si>
  <si>
    <t>DLC may require futher development</t>
  </si>
  <si>
    <t>different type of license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</si>
</sst>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d&quot;/&quot;mm&quot;/&quot;yy"/>
    <numFmt numFmtId="166" formatCode="[$£-809]#,##0.00"/>
    <numFmt numFmtId="167" formatCode="mmm&quot; &quot;d"/>
    <numFmt numFmtId="168" formatCode="d/m"/>
    <numFmt numFmtId="169" formatCode="dd/mm"/>
  </numFmts>
  <fonts count="76">
    <font>
      <sz val="12.0"/>
      <color rgb="FF000000"/>
      <name val="Corbe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Hind"/>
    </font>
    <font>
      <sz val="11.0"/>
      <color rgb="FF434343"/>
      <name val="Hind"/>
    </font>
    <font>
      <sz val="11.0"/>
      <color rgb="FF000000"/>
      <name val="Hind"/>
    </font>
    <font>
      <sz val="11.0"/>
      <name val="Hind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24.0"/>
      <color rgb="FFF8F8F8"/>
      <name val="Roboto"/>
    </font>
    <font>
      <b/>
      <sz val="8.0"/>
      <name val="Roboto"/>
    </font>
    <font>
      <b/>
      <sz val="8.0"/>
      <color rgb="FF000000"/>
      <name val="Roboto"/>
    </font>
    <font>
      <sz val="9.0"/>
      <color rgb="FF666666"/>
      <name val="Roboto"/>
    </font>
    <font>
      <b/>
      <sz val="8.0"/>
      <color rgb="FF666666"/>
      <name val="Roboto"/>
    </font>
    <font>
      <b/>
      <sz val="12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sz val="9.0"/>
      <color rgb="FF1F4E78"/>
      <name val="Roboto"/>
    </font>
    <font>
      <sz val="9.0"/>
      <color rgb="FF999999"/>
      <name val="Roboto"/>
    </font>
    <font>
      <sz val="11.0"/>
      <color rgb="FF1F4E78"/>
      <name val="Roboto"/>
    </font>
    <font>
      <sz val="9.0"/>
      <color rgb="FFFFFFFF"/>
      <name val="Roboto"/>
    </font>
    <font>
      <sz val="9.0"/>
      <color rgb="FFB85B22"/>
      <name val="Roboto"/>
    </font>
    <font>
      <b/>
      <sz val="14.0"/>
      <color rgb="FF45818E"/>
      <name val="Roboto"/>
    </font>
    <font>
      <sz val="9.0"/>
      <color rgb="FF45818E"/>
      <name val="Roboto"/>
    </font>
    <font>
      <sz val="9.0"/>
      <color rgb="FFB7B7B7"/>
      <name val="Roboto"/>
    </font>
    <font>
      <sz val="11.0"/>
      <color rgb="FFB85B22"/>
      <name val="Roboto"/>
    </font>
    <font>
      <sz val="9.0"/>
      <color rgb="FF000000"/>
      <name val="Roboto"/>
    </font>
    <font>
      <strike/>
      <sz val="9.0"/>
      <color rgb="FF45818E"/>
      <name val="Roboto"/>
    </font>
    <font>
      <b/>
      <sz val="14.0"/>
      <color rgb="FF38761D"/>
      <name val="Roboto"/>
    </font>
    <font>
      <sz val="9.0"/>
      <color rgb="FF38761D"/>
      <name val="Roboto"/>
    </font>
    <font>
      <b/>
      <sz val="14.0"/>
      <color rgb="FF351C75"/>
      <name val="Roboto"/>
    </font>
    <font>
      <sz val="9.0"/>
      <color rgb="FF351C75"/>
      <name val="Roboto"/>
    </font>
    <font>
      <b/>
      <sz val="11.0"/>
      <name val="Roboto"/>
    </font>
    <font>
      <sz val="10.0"/>
      <name val="Roboto"/>
    </font>
    <font>
      <name val="Roboto"/>
    </font>
    <font>
      <sz val="10.0"/>
      <color rgb="FF6D64E8"/>
      <name val="Roboto"/>
    </font>
    <font>
      <sz val="20.0"/>
      <color rgb="FF6D64E8"/>
      <name val="Roboto"/>
    </font>
    <font>
      <color rgb="FF6D64E8"/>
      <name val="Roboto"/>
    </font>
    <font>
      <sz val="10.0"/>
      <color rgb="FF666666"/>
      <name val="Roboto"/>
    </font>
    <font>
      <color rgb="FF666666"/>
      <name val="Roboto"/>
    </font>
    <font>
      <b/>
      <sz val="34.0"/>
      <color rgb="FF283592"/>
      <name val="Roboto"/>
    </font>
    <font>
      <sz val="34.0"/>
      <color rgb="FF283592"/>
      <name val="Roboto"/>
    </font>
    <font>
      <b/>
      <sz val="12.0"/>
      <color rgb="FF2A3990"/>
      <name val="Roboto"/>
    </font>
    <font>
      <color rgb="FF2A3990"/>
      <name val="Roboto"/>
    </font>
    <font>
      <sz val="14.0"/>
      <color rgb="FF2A3990"/>
      <name val="Roboto"/>
    </font>
    <font>
      <sz val="10.0"/>
      <color rgb="FF2A3990"/>
      <name val="Roboto"/>
    </font>
    <font>
      <b/>
      <sz val="10.0"/>
      <color rgb="FF2A3990"/>
      <name val="Roboto"/>
    </font>
    <font>
      <sz val="16.0"/>
      <color rgb="FFEB3F79"/>
      <name val="Roboto"/>
    </font>
    <font>
      <b/>
      <sz val="20.0"/>
      <color rgb="FFE01B84"/>
      <name val="Roboto"/>
    </font>
    <font>
      <b/>
      <name val="Arial"/>
    </font>
    <font>
      <name val="Arial"/>
    </font>
    <font>
      <sz val="11.0"/>
    </font>
    <font>
      <b/>
      <name val="Roboto Mono"/>
    </font>
    <font>
      <name val="Roboto Mono"/>
    </font>
    <font>
      <sz val="11.0"/>
      <name val="Roboto Mono"/>
    </font>
    <font>
      <color rgb="FFCCCCCC"/>
      <name val="Arial"/>
    </font>
    <font>
      <color rgb="FFCCCCCC"/>
    </font>
    <font>
      <sz val="12.0"/>
      <name val="Corbel"/>
    </font>
    <font>
      <color rgb="FFF8F8F8"/>
      <name val="Arial"/>
    </font>
    <font>
      <color rgb="FFF8F8F8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9FC5E8"/>
        <bgColor rgb="FF9FC5E8"/>
      </patternFill>
    </fill>
    <fill>
      <patternFill patternType="solid">
        <fgColor rgb="FF999999"/>
        <bgColor rgb="FF999999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351C75"/>
        <bgColor rgb="FF351C75"/>
      </patternFill>
    </fill>
    <fill>
      <patternFill patternType="solid">
        <fgColor rgb="FF283592"/>
        <bgColor rgb="FF283592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BEFF1"/>
        <bgColor rgb="FFEBEFF1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</fills>
  <borders count="99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</border>
    <border>
      <left style="hair">
        <color rgb="FFCCCCCC"/>
      </left>
      <right style="thin">
        <color rgb="FF999999"/>
      </right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D9D9D9"/>
      </lef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thin">
        <color rgb="FF999999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left style="thin">
        <color rgb="FFD9D9D9"/>
      </left>
    </border>
    <border>
      <left style="thin">
        <color rgb="FF999999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  <border>
      <left style="hair">
        <color rgb="FFCCCCCC"/>
      </left>
      <right style="thin">
        <color rgb="FF999999"/>
      </right>
      <top style="hair">
        <color rgb="FFCCCCCC"/>
      </top>
    </border>
    <border>
      <top style="hair">
        <color rgb="FFCCCCCC"/>
      </top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0B5394"/>
      </bottom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0B5394"/>
      </bottom>
    </border>
    <border>
      <left style="hair">
        <color rgb="FFB7B7B7"/>
      </left>
      <top style="hair">
        <color rgb="FFCCCCCC"/>
      </top>
      <bottom style="medium">
        <color rgb="FF0B5394"/>
      </bottom>
    </border>
    <border>
      <left style="thin">
        <color rgb="FFD9D9D9"/>
      </lef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999999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CCCCCC"/>
      </right>
      <bottom style="hair">
        <color rgb="FFCCCCCC"/>
      </bottom>
    </border>
    <border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999999"/>
      </right>
      <bottom style="hair">
        <color rgb="FFCCCCCC"/>
      </bottom>
    </border>
    <border>
      <left style="hair">
        <color rgb="FFCCCCCC"/>
      </left>
      <right style="hair">
        <color rgb="FF999999"/>
      </right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999999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bottom style="medium">
        <color rgb="FF45818E"/>
      </bottom>
    </border>
    <border>
      <right style="thin">
        <color rgb="FF999999"/>
      </right>
      <bottom style="medium">
        <color rgb="FF45818E"/>
      </bottom>
    </border>
    <border>
      <right style="hair">
        <color rgb="FFCCCCCC"/>
      </right>
      <bottom style="medium">
        <color rgb="FF45818E"/>
      </bottom>
    </border>
    <border>
      <left style="thin">
        <color rgb="FF999999"/>
      </left>
      <right style="hair">
        <color rgb="FFCCCCCC"/>
      </right>
    </border>
    <border>
      <left style="hair">
        <color rgb="FFCCCCCC"/>
      </left>
      <right style="thin">
        <color rgb="FF999999"/>
      </right>
    </border>
    <border>
      <left style="hair">
        <color rgb="FFCCCCCC"/>
      </left>
    </border>
    <border>
      <bottom style="medium">
        <color rgb="FF38761D"/>
      </bottom>
    </border>
    <border>
      <right style="thin">
        <color rgb="FFD9D9D9"/>
      </right>
      <bottom style="medium">
        <color rgb="FF38761D"/>
      </bottom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38761D"/>
      </bottom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38761D"/>
      </bottom>
    </border>
    <border>
      <left style="hair">
        <color rgb="FFB7B7B7"/>
      </left>
      <right style="thin">
        <color rgb="FF999999"/>
      </right>
      <top style="hair">
        <color rgb="FFCCCCCC"/>
      </top>
      <bottom style="medium">
        <color rgb="FF38761D"/>
      </bottom>
    </border>
    <border>
      <right style="hair">
        <color rgb="FFB7B7B7"/>
      </right>
      <top style="hair">
        <color rgb="FFCCCCCC"/>
      </top>
      <bottom style="medium">
        <color rgb="FF38761D"/>
      </bottom>
    </border>
    <border>
      <left style="hair">
        <color rgb="FFB7B7B7"/>
      </left>
      <top style="hair">
        <color rgb="FFCCCCCC"/>
      </top>
      <bottom style="medium">
        <color rgb="FF38761D"/>
      </bottom>
    </border>
    <border>
      <left style="thin">
        <color rgb="FF999999"/>
      </left>
      <right style="hair">
        <color rgb="FFB7B7B7"/>
      </right>
      <bottom style="hair">
        <color rgb="FFCCCCCC"/>
      </bottom>
    </border>
    <border>
      <left style="hair">
        <color rgb="FFB7B7B7"/>
      </left>
      <right style="hair">
        <color rgb="FFB7B7B7"/>
      </right>
      <bottom style="hair">
        <color rgb="FFCCCCCC"/>
      </bottom>
    </border>
    <border>
      <left style="hair">
        <color rgb="FFB7B7B7"/>
      </left>
      <bottom style="hair">
        <color rgb="FFCCCCCC"/>
      </bottom>
    </border>
    <border>
      <left style="hair">
        <color rgb="FFB7B7B7"/>
      </left>
      <right style="thin">
        <color rgb="FF999999"/>
      </right>
      <bottom style="hair">
        <color rgb="FFCCCCCC"/>
      </bottom>
    </border>
    <border>
      <top style="thin">
        <color rgb="FFCCCCCC"/>
      </top>
    </border>
    <border>
      <bottom style="medium">
        <color rgb="FF351C75"/>
      </bottom>
    </border>
    <border>
      <right style="thin">
        <color rgb="FF999999"/>
      </right>
      <bottom style="medium">
        <color rgb="FF351C75"/>
      </bottom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351C75"/>
      </bottom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351C75"/>
      </bottom>
    </border>
    <border>
      <left style="hair">
        <color rgb="FFB7B7B7"/>
      </left>
      <right style="thin">
        <color rgb="FF999999"/>
      </right>
      <top style="hair">
        <color rgb="FFCCCCCC"/>
      </top>
      <bottom style="medium">
        <color rgb="FF351C75"/>
      </bottom>
    </border>
    <border>
      <right style="hair">
        <color rgb="FFB7B7B7"/>
      </right>
      <top style="hair">
        <color rgb="FFCCCCCC"/>
      </top>
      <bottom style="medium">
        <color rgb="FF351C75"/>
      </bottom>
    </border>
    <border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right style="thin">
        <color rgb="FF999999"/>
      </right>
      <top style="thin">
        <color rgb="FF999999"/>
      </top>
    </border>
    <border>
      <left style="thin">
        <color rgb="FFB7B7B7"/>
      </left>
      <bottom style="thin">
        <color rgb="FF999999"/>
      </bottom>
    </border>
    <border>
      <right style="thin">
        <color rgb="FFB7B7B7"/>
      </right>
      <bottom style="thin">
        <color rgb="FF999999"/>
      </bottom>
    </border>
    <border>
      <left style="thin">
        <color rgb="FFB7B7B7"/>
      </lef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top style="thin">
        <color rgb="FF999999"/>
      </top>
    </border>
    <border>
      <left style="thin">
        <color rgb="FFB7B7B7"/>
      </left>
      <right style="thin">
        <color rgb="FFB7B7B7"/>
      </right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4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2" fontId="10" numFmtId="0" xfId="0" applyAlignment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8" numFmtId="0" xfId="0" applyBorder="1" applyFont="1"/>
    <xf borderId="2" fillId="0" fontId="17" numFmtId="0" xfId="0" applyAlignment="1" applyBorder="1" applyFont="1">
      <alignment horizontal="left" readingOrder="0" vertical="center"/>
    </xf>
    <xf borderId="0" fillId="0" fontId="17" numFmtId="0" xfId="0" applyAlignment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0" fillId="0" fontId="17" numFmtId="164" xfId="0" applyAlignment="1" applyFont="1" applyNumberFormat="1">
      <alignment horizontal="left" readingOrder="0" vertical="center"/>
    </xf>
    <xf borderId="0" fillId="0" fontId="17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0" fillId="3" fontId="20" numFmtId="0" xfId="0" applyAlignment="1" applyFont="1">
      <alignment horizontal="left" readingOrder="0" shrinkToFit="0" vertical="center" wrapText="1"/>
    </xf>
    <xf borderId="3" fillId="3" fontId="21" numFmtId="0" xfId="0" applyAlignment="1" applyBorder="1" applyFont="1">
      <alignment horizontal="center" readingOrder="0" shrinkToFit="0" vertical="center" wrapText="0"/>
    </xf>
    <xf borderId="4" fillId="0" fontId="8" numFmtId="0" xfId="0" applyBorder="1" applyFont="1"/>
    <xf borderId="4" fillId="3" fontId="22" numFmtId="0" xfId="0" applyAlignment="1" applyBorder="1" applyFont="1">
      <alignment horizontal="center" readingOrder="0" shrinkToFit="0" vertical="center" wrapText="0"/>
    </xf>
    <xf borderId="0" fillId="3" fontId="23" numFmtId="0" xfId="0" applyAlignment="1" applyFont="1">
      <alignment horizontal="center" readingOrder="0" shrinkToFit="0" textRotation="90" vertical="center" wrapText="0"/>
    </xf>
    <xf borderId="0" fillId="0" fontId="22" numFmtId="0" xfId="0" applyAlignment="1" applyFont="1">
      <alignment horizontal="center" readingOrder="0" shrinkToFit="0" vertical="center" wrapText="0"/>
    </xf>
    <xf borderId="0" fillId="0" fontId="21" numFmtId="0" xfId="0" applyAlignment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0" fillId="4" fontId="25" numFmtId="0" xfId="0" applyAlignment="1" applyFill="1" applyFont="1">
      <alignment horizontal="center" readingOrder="0" shrinkToFit="0" vertical="center" wrapText="1"/>
    </xf>
    <xf borderId="0" fillId="4" fontId="25" numFmtId="0" xfId="0" applyAlignment="1" applyFont="1">
      <alignment horizontal="left" readingOrder="0" shrinkToFit="0" vertical="center" wrapText="1"/>
    </xf>
    <xf borderId="5" fillId="4" fontId="26" numFmtId="0" xfId="0" applyAlignment="1" applyBorder="1" applyFont="1">
      <alignment horizontal="center" readingOrder="0" shrinkToFit="0" vertical="center" wrapText="0"/>
    </xf>
    <xf borderId="6" fillId="4" fontId="26" numFmtId="0" xfId="0" applyAlignment="1" applyBorder="1" applyFont="1">
      <alignment horizontal="center" readingOrder="0" shrinkToFit="0" vertical="center" wrapText="0"/>
    </xf>
    <xf borderId="6" fillId="5" fontId="26" numFmtId="0" xfId="0" applyAlignment="1" applyBorder="1" applyFill="1" applyFont="1">
      <alignment horizontal="center" readingOrder="0" shrinkToFit="0" vertical="center" wrapText="0"/>
    </xf>
    <xf borderId="7" fillId="5" fontId="26" numFmtId="0" xfId="0" applyAlignment="1" applyBorder="1" applyFont="1">
      <alignment horizontal="center" readingOrder="0" shrinkToFit="0" vertical="center" wrapText="0"/>
    </xf>
    <xf borderId="5" fillId="6" fontId="26" numFmtId="0" xfId="0" applyAlignment="1" applyBorder="1" applyFill="1" applyFont="1">
      <alignment horizontal="center" readingOrder="0" shrinkToFit="0" vertical="center" wrapText="0"/>
    </xf>
    <xf borderId="6" fillId="6" fontId="26" numFmtId="0" xfId="0" applyAlignment="1" applyBorder="1" applyFont="1">
      <alignment horizontal="center" readingOrder="0" shrinkToFit="0" vertical="center" wrapText="0"/>
    </xf>
    <xf borderId="7" fillId="4" fontId="26" numFmtId="0" xfId="0" applyAlignment="1" applyBorder="1" applyFont="1">
      <alignment horizontal="center" readingOrder="0" shrinkToFit="0" vertical="center" wrapText="0"/>
    </xf>
    <xf borderId="4" fillId="4" fontId="26" numFmtId="0" xfId="0" applyAlignment="1" applyBorder="1" applyFont="1">
      <alignment horizontal="center" readingOrder="0" shrinkToFit="0" vertical="center" wrapText="0"/>
    </xf>
    <xf borderId="0" fillId="0" fontId="26" numFmtId="0" xfId="0" applyAlignment="1" applyFont="1">
      <alignment vertical="center"/>
    </xf>
    <xf borderId="0" fillId="4" fontId="27" numFmtId="0" xfId="0" applyAlignment="1" applyFont="1">
      <alignment horizontal="center" readingOrder="0" shrinkToFit="0" vertical="center" wrapText="1"/>
    </xf>
    <xf borderId="0" fillId="4" fontId="28" numFmtId="0" xfId="0" applyAlignment="1" applyFont="1">
      <alignment horizontal="left" readingOrder="0" shrinkToFit="0" vertical="center" wrapText="1"/>
    </xf>
    <xf borderId="0" fillId="4" fontId="27" numFmtId="0" xfId="0" applyAlignment="1" applyFont="1">
      <alignment horizontal="left" readingOrder="0" shrinkToFit="0" vertical="center" wrapText="1"/>
    </xf>
    <xf borderId="5" fillId="5" fontId="26" numFmtId="165" xfId="0" applyAlignment="1" applyBorder="1" applyFont="1" applyNumberFormat="1">
      <alignment horizontal="center" readingOrder="0" shrinkToFit="0" vertical="center" wrapText="0"/>
    </xf>
    <xf borderId="7" fillId="0" fontId="8" numFmtId="0" xfId="0" applyBorder="1" applyFont="1"/>
    <xf borderId="0" fillId="0" fontId="26" numFmtId="0" xfId="0" applyAlignment="1" applyFont="1">
      <alignment horizontal="center" readingOrder="0" shrinkToFit="0" vertical="center" wrapText="0"/>
    </xf>
    <xf borderId="0" fillId="0" fontId="29" numFmtId="0" xfId="0" applyAlignment="1" applyFont="1">
      <alignment vertical="center"/>
    </xf>
    <xf borderId="0" fillId="7" fontId="30" numFmtId="0" xfId="0" applyAlignment="1" applyFill="1" applyFont="1">
      <alignment horizontal="center" readingOrder="0" shrinkToFit="0" vertical="center" wrapText="0"/>
    </xf>
    <xf borderId="0" fillId="8" fontId="30" numFmtId="0" xfId="0" applyAlignment="1" applyFill="1" applyFont="1">
      <alignment horizontal="center" readingOrder="0" shrinkToFit="0" vertical="center" wrapText="0"/>
    </xf>
    <xf borderId="0" fillId="8" fontId="31" numFmtId="0" xfId="0" applyAlignment="1" applyFont="1">
      <alignment horizontal="left" readingOrder="0" shrinkToFit="0" vertical="center" wrapText="1"/>
    </xf>
    <xf borderId="0" fillId="8" fontId="32" numFmtId="0" xfId="0" applyAlignment="1" applyFont="1">
      <alignment horizontal="left" readingOrder="0" shrinkToFit="0" vertical="center" wrapText="1"/>
    </xf>
    <xf borderId="8" fillId="0" fontId="8" numFmtId="0" xfId="0" applyBorder="1" applyFont="1"/>
    <xf borderId="9" fillId="2" fontId="33" numFmtId="166" xfId="0" applyAlignment="1" applyBorder="1" applyFont="1" applyNumberFormat="1">
      <alignment horizontal="center" shrinkToFit="0" vertical="center" wrapText="0"/>
    </xf>
    <xf borderId="10" fillId="2" fontId="33" numFmtId="166" xfId="0" applyAlignment="1" applyBorder="1" applyFont="1" applyNumberFormat="1">
      <alignment horizontal="center" shrinkToFit="0" vertical="center" wrapText="0"/>
    </xf>
    <xf borderId="11" fillId="0" fontId="33" numFmtId="166" xfId="0" applyAlignment="1" applyBorder="1" applyFont="1" applyNumberFormat="1">
      <alignment horizontal="center" shrinkToFit="0" vertical="center" wrapText="0"/>
    </xf>
    <xf borderId="12" fillId="0" fontId="33" numFmtId="166" xfId="0" applyAlignment="1" applyBorder="1" applyFont="1" applyNumberFormat="1">
      <alignment horizontal="center" shrinkToFit="0" vertical="center" wrapText="0"/>
    </xf>
    <xf borderId="13" fillId="2" fontId="33" numFmtId="166" xfId="0" applyAlignment="1" applyBorder="1" applyFont="1" applyNumberFormat="1">
      <alignment horizontal="center" shrinkToFit="0" vertical="center" wrapText="0"/>
    </xf>
    <xf borderId="14" fillId="2" fontId="33" numFmtId="166" xfId="0" applyAlignment="1" applyBorder="1" applyFont="1" applyNumberFormat="1">
      <alignment horizontal="center" shrinkToFit="0" vertical="center" wrapText="0"/>
    </xf>
    <xf borderId="15" fillId="0" fontId="26" numFmtId="166" xfId="0" applyAlignment="1" applyBorder="1" applyFont="1" applyNumberFormat="1">
      <alignment horizontal="center" readingOrder="0" shrinkToFit="0" vertical="center" wrapText="0"/>
    </xf>
    <xf borderId="0" fillId="0" fontId="33" numFmtId="0" xfId="0" applyAlignment="1" applyFont="1">
      <alignment horizontal="left" shrinkToFit="0" vertical="center" wrapText="0"/>
    </xf>
    <xf borderId="16" fillId="0" fontId="34" numFmtId="0" xfId="0" applyAlignment="1" applyBorder="1" applyFont="1">
      <alignment horizontal="right" readingOrder="0" shrinkToFit="0" vertical="center" wrapText="0"/>
    </xf>
    <xf borderId="17" fillId="0" fontId="34" numFmtId="166" xfId="0" applyAlignment="1" applyBorder="1" applyFont="1" applyNumberFormat="1">
      <alignment horizontal="left" readingOrder="0" shrinkToFit="0" vertical="center" wrapText="0"/>
    </xf>
    <xf borderId="0" fillId="0" fontId="33" numFmtId="0" xfId="0" applyAlignment="1" applyFont="1">
      <alignment vertical="center"/>
    </xf>
    <xf borderId="18" fillId="2" fontId="33" numFmtId="166" xfId="0" applyAlignment="1" applyBorder="1" applyFont="1" applyNumberFormat="1">
      <alignment horizontal="center" shrinkToFit="0" vertical="center" wrapText="0"/>
    </xf>
    <xf borderId="11" fillId="2" fontId="33" numFmtId="166" xfId="0" applyAlignment="1" applyBorder="1" applyFont="1" applyNumberFormat="1">
      <alignment horizontal="center" shrinkToFit="0" vertical="center" wrapText="0"/>
    </xf>
    <xf borderId="19" fillId="2" fontId="33" numFmtId="166" xfId="0" applyAlignment="1" applyBorder="1" applyFont="1" applyNumberFormat="1">
      <alignment horizontal="center" shrinkToFit="0" vertical="center" wrapText="0"/>
    </xf>
    <xf borderId="20" fillId="2" fontId="33" numFmtId="166" xfId="0" applyAlignment="1" applyBorder="1" applyFont="1" applyNumberFormat="1">
      <alignment horizontal="center" shrinkToFit="0" vertical="center" wrapText="0"/>
    </xf>
    <xf borderId="21" fillId="0" fontId="34" numFmtId="0" xfId="0" applyAlignment="1" applyBorder="1" applyFont="1">
      <alignment horizontal="right" readingOrder="0" shrinkToFit="0" vertical="center" wrapText="0"/>
    </xf>
    <xf borderId="8" fillId="0" fontId="34" numFmtId="3" xfId="0" applyAlignment="1" applyBorder="1" applyFont="1" applyNumberFormat="1">
      <alignment horizontal="left" readingOrder="0" shrinkToFit="0" vertical="center" wrapText="0"/>
    </xf>
    <xf borderId="0" fillId="0" fontId="35" numFmtId="0" xfId="0" applyAlignment="1" applyFont="1">
      <alignment vertical="center"/>
    </xf>
    <xf borderId="22" fillId="2" fontId="33" numFmtId="166" xfId="0" applyAlignment="1" applyBorder="1" applyFont="1" applyNumberFormat="1">
      <alignment horizontal="center" shrinkToFit="0" vertical="center" wrapText="0"/>
    </xf>
    <xf borderId="23" fillId="2" fontId="33" numFmtId="166" xfId="0" applyAlignment="1" applyBorder="1" applyFont="1" applyNumberFormat="1">
      <alignment horizontal="center" shrinkToFit="0" vertical="center" wrapText="0"/>
    </xf>
    <xf borderId="23" fillId="0" fontId="33" numFmtId="166" xfId="0" applyAlignment="1" applyBorder="1" applyFont="1" applyNumberFormat="1">
      <alignment horizontal="center" shrinkToFit="0" vertical="center" wrapText="0"/>
    </xf>
    <xf borderId="24" fillId="0" fontId="36" numFmtId="166" xfId="0" applyAlignment="1" applyBorder="1" applyFont="1" applyNumberFormat="1">
      <alignment horizontal="center" readingOrder="0" shrinkToFit="0" vertical="center" wrapText="0"/>
    </xf>
    <xf borderId="25" fillId="2" fontId="33" numFmtId="166" xfId="0" applyAlignment="1" applyBorder="1" applyFont="1" applyNumberFormat="1">
      <alignment horizontal="center" shrinkToFit="0" vertical="center" wrapText="0"/>
    </xf>
    <xf borderId="26" fillId="0" fontId="36" numFmtId="166" xfId="0" applyAlignment="1" applyBorder="1" applyFont="1" applyNumberFormat="1">
      <alignment horizontal="center" readingOrder="0" shrinkToFit="0" vertical="center" wrapText="0"/>
    </xf>
    <xf borderId="23" fillId="2" fontId="37" numFmtId="166" xfId="0" applyAlignment="1" applyBorder="1" applyFont="1" applyNumberFormat="1">
      <alignment horizontal="center" shrinkToFit="0" vertical="center" wrapText="0"/>
    </xf>
    <xf borderId="23" fillId="2" fontId="33" numFmtId="166" xfId="0" applyAlignment="1" applyBorder="1" applyFont="1" applyNumberFormat="1">
      <alignment horizontal="center" readingOrder="0" shrinkToFit="0" vertical="center" wrapText="0"/>
    </xf>
    <xf borderId="24" fillId="2" fontId="33" numFmtId="166" xfId="0" applyAlignment="1" applyBorder="1" applyFont="1" applyNumberFormat="1">
      <alignment horizontal="center" shrinkToFit="0" vertical="center" wrapText="0"/>
    </xf>
    <xf borderId="22" fillId="2" fontId="33" numFmtId="166" xfId="0" applyAlignment="1" applyBorder="1" applyFont="1" applyNumberFormat="1">
      <alignment horizontal="center" readingOrder="0" shrinkToFit="0" vertical="center" wrapText="0"/>
    </xf>
    <xf borderId="8" fillId="0" fontId="34" numFmtId="10" xfId="0" applyAlignment="1" applyBorder="1" applyFont="1" applyNumberFormat="1">
      <alignment horizontal="left" readingOrder="0" shrinkToFit="0" vertical="center" wrapText="0"/>
    </xf>
    <xf borderId="27" fillId="8" fontId="30" numFmtId="0" xfId="0" applyAlignment="1" applyBorder="1" applyFont="1">
      <alignment horizontal="center" readingOrder="0" shrinkToFit="0" vertical="center" wrapText="0"/>
    </xf>
    <xf borderId="27" fillId="0" fontId="8" numFmtId="0" xfId="0" applyBorder="1" applyFont="1"/>
    <xf borderId="27" fillId="8" fontId="32" numFmtId="0" xfId="0" applyAlignment="1" applyBorder="1" applyFont="1">
      <alignment horizontal="left" readingOrder="0" shrinkToFit="0" vertical="center" wrapText="1"/>
    </xf>
    <xf borderId="28" fillId="0" fontId="8" numFmtId="0" xfId="0" applyBorder="1" applyFont="1"/>
    <xf borderId="29" fillId="9" fontId="33" numFmtId="166" xfId="0" applyAlignment="1" applyBorder="1" applyFill="1" applyFont="1" applyNumberFormat="1">
      <alignment horizontal="center" shrinkToFit="0" vertical="center" wrapText="0"/>
    </xf>
    <xf borderId="30" fillId="9" fontId="33" numFmtId="166" xfId="0" applyAlignment="1" applyBorder="1" applyFont="1" applyNumberFormat="1">
      <alignment horizontal="center" shrinkToFit="0" vertical="center" wrapText="0"/>
    </xf>
    <xf borderId="31" fillId="9" fontId="33" numFmtId="166" xfId="0" applyAlignment="1" applyBorder="1" applyFont="1" applyNumberFormat="1">
      <alignment horizontal="center" shrinkToFit="0" vertical="center" wrapText="0"/>
    </xf>
    <xf borderId="15" fillId="10" fontId="26" numFmtId="0" xfId="0" applyAlignment="1" applyBorder="1" applyFill="1" applyFont="1">
      <alignment horizontal="center" readingOrder="0" shrinkToFit="0" vertical="center" wrapText="0"/>
    </xf>
    <xf borderId="32" fillId="0" fontId="34" numFmtId="0" xfId="0" applyAlignment="1" applyBorder="1" applyFont="1">
      <alignment horizontal="right" readingOrder="0" shrinkToFit="0" vertical="center" wrapText="0"/>
    </xf>
    <xf borderId="33" fillId="0" fontId="34" numFmtId="10" xfId="0" applyAlignment="1" applyBorder="1" applyFont="1" applyNumberFormat="1">
      <alignment horizontal="left" readingOrder="0" shrinkToFit="0" vertical="center" wrapText="0"/>
    </xf>
    <xf borderId="0" fillId="11" fontId="30" numFmtId="0" xfId="0" applyAlignment="1" applyFill="1" applyFont="1">
      <alignment horizontal="center" readingOrder="0" shrinkToFit="0" vertical="center" wrapText="0"/>
    </xf>
    <xf borderId="0" fillId="8" fontId="38" numFmtId="0" xfId="0" applyAlignment="1" applyFont="1">
      <alignment horizontal="left" readingOrder="0" shrinkToFit="0" vertical="center" wrapText="1"/>
    </xf>
    <xf borderId="0" fillId="0" fontId="39" numFmtId="0" xfId="0" applyAlignment="1" applyFont="1">
      <alignment horizontal="left" readingOrder="0" shrinkToFit="0" vertical="center" wrapText="1"/>
    </xf>
    <xf borderId="34" fillId="0" fontId="39" numFmtId="166" xfId="0" applyAlignment="1" applyBorder="1" applyFont="1" applyNumberFormat="1">
      <alignment horizontal="center" readingOrder="0" shrinkToFit="0" vertical="center" wrapText="0"/>
    </xf>
    <xf borderId="35" fillId="0" fontId="39" numFmtId="166" xfId="0" applyAlignment="1" applyBorder="1" applyFont="1" applyNumberFormat="1">
      <alignment horizontal="center" readingOrder="0" shrinkToFit="0" vertical="center" wrapText="0"/>
    </xf>
    <xf borderId="36" fillId="0" fontId="39" numFmtId="166" xfId="0" applyAlignment="1" applyBorder="1" applyFont="1" applyNumberFormat="1">
      <alignment horizontal="center" readingOrder="0" shrinkToFit="0" vertical="center" wrapText="0"/>
    </xf>
    <xf borderId="9" fillId="0" fontId="39" numFmtId="166" xfId="0" applyAlignment="1" applyBorder="1" applyFont="1" applyNumberFormat="1">
      <alignment horizontal="center" readingOrder="0" shrinkToFit="0" vertical="center" wrapText="0"/>
    </xf>
    <xf borderId="0" fillId="0" fontId="40" numFmtId="166" xfId="0" applyAlignment="1" applyFont="1" applyNumberFormat="1">
      <alignment horizontal="left" readingOrder="0" shrinkToFit="0" vertical="center" wrapText="0"/>
    </xf>
    <xf borderId="0" fillId="0" fontId="37" numFmtId="0" xfId="0" applyAlignment="1" applyFont="1">
      <alignment horizontal="left" shrinkToFit="0" vertical="center" wrapText="0"/>
    </xf>
    <xf borderId="0" fillId="0" fontId="41" numFmtId="0" xfId="0" applyAlignment="1" applyFont="1">
      <alignment vertical="center"/>
    </xf>
    <xf borderId="0" fillId="8" fontId="39" numFmtId="0" xfId="0" applyAlignment="1" applyFont="1">
      <alignment horizontal="left" readingOrder="0" shrinkToFit="0" vertical="center" wrapText="1"/>
    </xf>
    <xf borderId="37" fillId="11" fontId="36" numFmtId="166" xfId="0" applyAlignment="1" applyBorder="1" applyFont="1" applyNumberFormat="1">
      <alignment horizontal="right" readingOrder="0" shrinkToFit="0" vertical="center" wrapText="0"/>
    </xf>
    <xf borderId="11" fillId="11" fontId="36" numFmtId="166" xfId="0" applyAlignment="1" applyBorder="1" applyFont="1" applyNumberFormat="1">
      <alignment horizontal="right" readingOrder="0" shrinkToFit="0" vertical="center" wrapText="0"/>
    </xf>
    <xf borderId="10" fillId="12" fontId="36" numFmtId="166" xfId="0" applyAlignment="1" applyBorder="1" applyFill="1" applyFont="1" applyNumberFormat="1">
      <alignment horizontal="right" readingOrder="0" shrinkToFit="0" vertical="center" wrapText="0"/>
    </xf>
    <xf borderId="10" fillId="11" fontId="36" numFmtId="166" xfId="0" applyAlignment="1" applyBorder="1" applyFont="1" applyNumberFormat="1">
      <alignment horizontal="right" readingOrder="0" shrinkToFit="0" vertical="center" wrapText="0"/>
    </xf>
    <xf borderId="38" fillId="12" fontId="36" numFmtId="166" xfId="0" applyAlignment="1" applyBorder="1" applyFont="1" applyNumberFormat="1">
      <alignment horizontal="right" readingOrder="0" shrinkToFit="0" vertical="center" wrapText="0"/>
    </xf>
    <xf borderId="35" fillId="12" fontId="36" numFmtId="166" xfId="0" applyAlignment="1" applyBorder="1" applyFont="1" applyNumberFormat="1">
      <alignment horizontal="right" readingOrder="0" shrinkToFit="0" vertical="center" wrapText="0"/>
    </xf>
    <xf borderId="20" fillId="11" fontId="36" numFmtId="166" xfId="0" applyAlignment="1" applyBorder="1" applyFont="1" applyNumberFormat="1">
      <alignment horizontal="right" readingOrder="0" shrinkToFit="0" vertical="center" wrapText="0"/>
    </xf>
    <xf borderId="9" fillId="11" fontId="36" numFmtId="166" xfId="0" applyAlignment="1" applyBorder="1" applyFont="1" applyNumberFormat="1">
      <alignment horizontal="right" readingOrder="0" shrinkToFit="0" vertical="center" wrapText="0"/>
    </xf>
    <xf borderId="11" fillId="12" fontId="36" numFmtId="166" xfId="0" applyAlignment="1" applyBorder="1" applyFont="1" applyNumberFormat="1">
      <alignment horizontal="right" readingOrder="0" shrinkToFit="0" vertical="center" wrapText="0"/>
    </xf>
    <xf borderId="19" fillId="11" fontId="36" numFmtId="166" xfId="0" applyAlignment="1" applyBorder="1" applyFont="1" applyNumberFormat="1">
      <alignment horizontal="right" readingOrder="0" shrinkToFit="0" vertical="center" wrapText="0"/>
    </xf>
    <xf borderId="39" fillId="11" fontId="36" numFmtId="166" xfId="0" applyAlignment="1" applyBorder="1" applyFont="1" applyNumberFormat="1">
      <alignment horizontal="right" readingOrder="0" shrinkToFit="0" vertical="center" wrapText="0"/>
    </xf>
    <xf borderId="18" fillId="11" fontId="36" numFmtId="166" xfId="0" applyAlignment="1" applyBorder="1" applyFont="1" applyNumberFormat="1">
      <alignment horizontal="right" readingOrder="0" shrinkToFit="0" vertical="center" wrapText="0"/>
    </xf>
    <xf borderId="19" fillId="12" fontId="36" numFmtId="166" xfId="0" applyAlignment="1" applyBorder="1" applyFont="1" applyNumberFormat="1">
      <alignment horizontal="right" readingOrder="0" shrinkToFit="0" vertical="center" wrapText="0"/>
    </xf>
    <xf borderId="8" fillId="0" fontId="34" numFmtId="4" xfId="0" applyAlignment="1" applyBorder="1" applyFont="1" applyNumberFormat="1">
      <alignment horizontal="left" readingOrder="0" shrinkToFit="0" vertical="center" wrapText="0"/>
    </xf>
    <xf borderId="23" fillId="12" fontId="36" numFmtId="166" xfId="0" applyAlignment="1" applyBorder="1" applyFont="1" applyNumberFormat="1">
      <alignment horizontal="right" readingOrder="0" shrinkToFit="0" vertical="center" wrapText="0"/>
    </xf>
    <xf borderId="34" fillId="2" fontId="42" numFmtId="166" xfId="0" applyAlignment="1" applyBorder="1" applyFont="1" applyNumberFormat="1">
      <alignment horizontal="center" readingOrder="0" shrinkToFit="0" vertical="center" wrapText="0"/>
    </xf>
    <xf borderId="12" fillId="2" fontId="37" numFmtId="166" xfId="0" applyAlignment="1" applyBorder="1" applyFont="1" applyNumberFormat="1">
      <alignment horizontal="center" shrinkToFit="0" vertical="center" wrapText="0"/>
    </xf>
    <xf borderId="25" fillId="2" fontId="37" numFmtId="166" xfId="0" applyAlignment="1" applyBorder="1" applyFont="1" applyNumberFormat="1">
      <alignment horizontal="center" shrinkToFit="0" vertical="center" wrapText="0"/>
    </xf>
    <xf borderId="22" fillId="2" fontId="37" numFmtId="166" xfId="0" applyAlignment="1" applyBorder="1" applyFont="1" applyNumberFormat="1">
      <alignment horizontal="center" shrinkToFit="0" vertical="center" wrapText="0"/>
    </xf>
    <xf borderId="24" fillId="2" fontId="37" numFmtId="166" xfId="0" applyAlignment="1" applyBorder="1" applyFont="1" applyNumberFormat="1">
      <alignment horizontal="center" shrinkToFit="0" vertical="center" wrapText="0"/>
    </xf>
    <xf borderId="10" fillId="2" fontId="39" numFmtId="166" xfId="0" applyAlignment="1" applyBorder="1" applyFont="1" applyNumberFormat="1">
      <alignment horizontal="center" readingOrder="0" shrinkToFit="0" vertical="center" wrapText="0"/>
    </xf>
    <xf borderId="40" fillId="2" fontId="37" numFmtId="166" xfId="0" applyAlignment="1" applyBorder="1" applyFont="1" applyNumberFormat="1">
      <alignment horizontal="center" shrinkToFit="0" vertical="center" wrapText="0"/>
    </xf>
    <xf borderId="13" fillId="2" fontId="39" numFmtId="166" xfId="0" applyAlignment="1" applyBorder="1" applyFont="1" applyNumberFormat="1">
      <alignment horizontal="center" readingOrder="0" shrinkToFit="0" vertical="center" wrapText="0"/>
    </xf>
    <xf borderId="10" fillId="2" fontId="43" numFmtId="166" xfId="0" applyAlignment="1" applyBorder="1" applyFont="1" applyNumberFormat="1">
      <alignment horizontal="center" readingOrder="0" shrinkToFit="0" vertical="center" wrapText="0"/>
    </xf>
    <xf borderId="8" fillId="0" fontId="34" numFmtId="166" xfId="0" applyAlignment="1" applyBorder="1" applyFont="1" applyNumberFormat="1">
      <alignment horizontal="left" readingOrder="0" shrinkToFit="0" vertical="center" wrapText="0"/>
    </xf>
    <xf borderId="41" fillId="2" fontId="36" numFmtId="166" xfId="0" applyAlignment="1" applyBorder="1" applyFont="1" applyNumberFormat="1">
      <alignment horizontal="center" readingOrder="0" shrinkToFit="0" vertical="center" wrapText="0"/>
    </xf>
    <xf borderId="42" fillId="2" fontId="36" numFmtId="166" xfId="0" applyAlignment="1" applyBorder="1" applyFont="1" applyNumberFormat="1">
      <alignment horizontal="center" readingOrder="0" shrinkToFit="0" vertical="center" wrapText="0"/>
    </xf>
    <xf borderId="43" fillId="2" fontId="36" numFmtId="166" xfId="0" applyAlignment="1" applyBorder="1" applyFont="1" applyNumberFormat="1">
      <alignment horizontal="center" readingOrder="0" shrinkToFit="0" vertical="center" wrapText="0"/>
    </xf>
    <xf borderId="41" fillId="0" fontId="36" numFmtId="166" xfId="0" applyAlignment="1" applyBorder="1" applyFont="1" applyNumberFormat="1">
      <alignment horizontal="left" readingOrder="0" shrinkToFit="0" vertical="center" wrapText="0"/>
    </xf>
    <xf borderId="41" fillId="0" fontId="36" numFmtId="166" xfId="0" applyAlignment="1" applyBorder="1" applyFont="1" applyNumberFormat="1">
      <alignment horizontal="center" readingOrder="0" shrinkToFit="0" vertical="center" wrapText="0"/>
    </xf>
    <xf borderId="44" fillId="0" fontId="36" numFmtId="166" xfId="0" applyAlignment="1" applyBorder="1" applyFont="1" applyNumberFormat="1">
      <alignment horizontal="center" readingOrder="0" shrinkToFit="0" vertical="center" wrapText="0"/>
    </xf>
    <xf borderId="11" fillId="2" fontId="39" numFmtId="166" xfId="0" applyAlignment="1" applyBorder="1" applyFont="1" applyNumberFormat="1">
      <alignment horizontal="center" readingOrder="0" shrinkToFit="0" vertical="center" wrapText="0"/>
    </xf>
    <xf borderId="22" fillId="2" fontId="39" numFmtId="166" xfId="0" applyAlignment="1" applyBorder="1" applyFont="1" applyNumberFormat="1">
      <alignment horizontal="center" readingOrder="0" shrinkToFit="0" vertical="center" wrapText="0"/>
    </xf>
    <xf borderId="23" fillId="2" fontId="39" numFmtId="166" xfId="0" applyAlignment="1" applyBorder="1" applyFont="1" applyNumberFormat="1">
      <alignment horizontal="center" readingOrder="0" shrinkToFit="0" vertical="center" wrapText="0"/>
    </xf>
    <xf borderId="33" fillId="0" fontId="34" numFmtId="166" xfId="0" applyAlignment="1" applyBorder="1" applyFont="1" applyNumberFormat="1">
      <alignment horizontal="left" readingOrder="0" shrinkToFit="0" vertical="center" wrapText="0"/>
    </xf>
    <xf borderId="45" fillId="8" fontId="30" numFmtId="0" xfId="0" applyAlignment="1" applyBorder="1" applyFont="1">
      <alignment horizontal="center" readingOrder="0" shrinkToFit="0" vertical="center" wrapText="0"/>
    </xf>
    <xf borderId="45" fillId="0" fontId="8" numFmtId="0" xfId="0" applyBorder="1" applyFont="1"/>
    <xf borderId="45" fillId="8" fontId="39" numFmtId="0" xfId="0" applyAlignment="1" applyBorder="1" applyFont="1">
      <alignment horizontal="left" readingOrder="0" shrinkToFit="0" vertical="center" wrapText="1"/>
    </xf>
    <xf borderId="46" fillId="0" fontId="8" numFmtId="0" xfId="0" applyBorder="1" applyFont="1"/>
    <xf borderId="47" fillId="13" fontId="39" numFmtId="166" xfId="0" applyAlignment="1" applyBorder="1" applyFill="1" applyFont="1" applyNumberFormat="1">
      <alignment horizontal="center" readingOrder="0" shrinkToFit="0" vertical="center" wrapText="0"/>
    </xf>
    <xf borderId="46" fillId="13" fontId="39" numFmtId="166" xfId="0" applyAlignment="1" applyBorder="1" applyFont="1" applyNumberFormat="1">
      <alignment horizontal="center" readingOrder="0" shrinkToFit="0" vertical="center" wrapText="0"/>
    </xf>
    <xf borderId="0" fillId="14" fontId="30" numFmtId="0" xfId="0" applyAlignment="1" applyFill="1" applyFont="1">
      <alignment horizontal="center" readingOrder="0" shrinkToFit="0" vertical="center" wrapText="0"/>
    </xf>
    <xf borderId="0" fillId="8" fontId="44" numFmtId="0" xfId="0" applyAlignment="1" applyFont="1">
      <alignment horizontal="left" readingOrder="0" shrinkToFit="0" vertical="center" wrapText="1"/>
    </xf>
    <xf borderId="0" fillId="8" fontId="45" numFmtId="0" xfId="0" applyAlignment="1" applyFont="1">
      <alignment horizontal="left" readingOrder="0" shrinkToFit="0" vertical="center" wrapText="1"/>
    </xf>
    <xf borderId="48" fillId="2" fontId="42" numFmtId="166" xfId="0" applyAlignment="1" applyBorder="1" applyFont="1" applyNumberFormat="1">
      <alignment horizontal="center" shrinkToFit="0" vertical="center" wrapText="0"/>
    </xf>
    <xf borderId="12" fillId="2" fontId="42" numFmtId="166" xfId="0" applyAlignment="1" applyBorder="1" applyFont="1" applyNumberFormat="1">
      <alignment horizontal="center" shrinkToFit="0" vertical="center" wrapText="0"/>
    </xf>
    <xf borderId="49" fillId="2" fontId="42" numFmtId="166" xfId="0" applyAlignment="1" applyBorder="1" applyFont="1" applyNumberFormat="1">
      <alignment horizontal="center" shrinkToFit="0" vertical="center" wrapText="0"/>
    </xf>
    <xf borderId="50" fillId="2" fontId="42" numFmtId="166" xfId="0" applyAlignment="1" applyBorder="1" applyFont="1" applyNumberFormat="1">
      <alignment horizontal="center" shrinkToFit="0" vertical="center" wrapText="0"/>
    </xf>
    <xf borderId="0" fillId="0" fontId="42" numFmtId="0" xfId="0" applyAlignment="1" applyFont="1">
      <alignment horizontal="left" shrinkToFit="0" vertical="center" wrapText="0"/>
    </xf>
    <xf borderId="22" fillId="2" fontId="42" numFmtId="166" xfId="0" applyAlignment="1" applyBorder="1" applyFont="1" applyNumberFormat="1">
      <alignment horizontal="center" shrinkToFit="0" vertical="center" wrapText="0"/>
    </xf>
    <xf borderId="23" fillId="2" fontId="42" numFmtId="166" xfId="0" applyAlignment="1" applyBorder="1" applyFont="1" applyNumberFormat="1">
      <alignment horizontal="center" shrinkToFit="0" vertical="center" wrapText="0"/>
    </xf>
    <xf borderId="25" fillId="2" fontId="42" numFmtId="166" xfId="0" applyAlignment="1" applyBorder="1" applyFont="1" applyNumberFormat="1">
      <alignment horizontal="center" shrinkToFit="0" vertical="center" wrapText="0"/>
    </xf>
    <xf borderId="24" fillId="2" fontId="42" numFmtId="166" xfId="0" applyAlignment="1" applyBorder="1" applyFont="1" applyNumberFormat="1">
      <alignment horizontal="center" shrinkToFit="0" vertical="center" wrapText="0"/>
    </xf>
    <xf borderId="51" fillId="8" fontId="30" numFmtId="0" xfId="0" applyAlignment="1" applyBorder="1" applyFont="1">
      <alignment horizontal="center" readingOrder="0" shrinkToFit="0" vertical="center" wrapText="0"/>
    </xf>
    <xf borderId="51" fillId="0" fontId="8" numFmtId="0" xfId="0" applyBorder="1" applyFont="1"/>
    <xf borderId="51" fillId="8" fontId="45" numFmtId="0" xfId="0" applyAlignment="1" applyBorder="1" applyFont="1">
      <alignment horizontal="left" readingOrder="0" shrinkToFit="0" vertical="center" wrapText="1"/>
    </xf>
    <xf borderId="52" fillId="0" fontId="8" numFmtId="0" xfId="0" applyBorder="1" applyFont="1"/>
    <xf borderId="53" fillId="15" fontId="42" numFmtId="166" xfId="0" applyAlignment="1" applyBorder="1" applyFill="1" applyFont="1" applyNumberFormat="1">
      <alignment horizontal="center" shrinkToFit="0" vertical="center" wrapText="0"/>
    </xf>
    <xf borderId="54" fillId="15" fontId="42" numFmtId="166" xfId="0" applyAlignment="1" applyBorder="1" applyFont="1" applyNumberFormat="1">
      <alignment horizontal="center" shrinkToFit="0" vertical="center" wrapText="0"/>
    </xf>
    <xf borderId="55" fillId="15" fontId="42" numFmtId="166" xfId="0" applyAlignment="1" applyBorder="1" applyFont="1" applyNumberFormat="1">
      <alignment horizontal="center" shrinkToFit="0" vertical="center" wrapText="0"/>
    </xf>
    <xf borderId="56" fillId="15" fontId="42" numFmtId="166" xfId="0" applyAlignment="1" applyBorder="1" applyFont="1" applyNumberFormat="1">
      <alignment horizontal="center" shrinkToFit="0" vertical="center" wrapText="0"/>
    </xf>
    <xf borderId="57" fillId="15" fontId="42" numFmtId="166" xfId="0" applyAlignment="1" applyBorder="1" applyFont="1" applyNumberFormat="1">
      <alignment horizontal="center" shrinkToFit="0" vertical="center" wrapText="0"/>
    </xf>
    <xf borderId="0" fillId="16" fontId="30" numFmtId="0" xfId="0" applyAlignment="1" applyFill="1" applyFont="1">
      <alignment horizontal="center" readingOrder="0" shrinkToFit="0" vertical="center" wrapText="0"/>
    </xf>
    <xf borderId="0" fillId="8" fontId="46" numFmtId="0" xfId="0" applyAlignment="1" applyFont="1">
      <alignment horizontal="left" readingOrder="0" shrinkToFit="0" vertical="center" wrapText="1"/>
    </xf>
    <xf borderId="0" fillId="8" fontId="47" numFmtId="0" xfId="0" applyAlignment="1" applyFont="1">
      <alignment horizontal="left" readingOrder="0" shrinkToFit="0" vertical="center" wrapText="1"/>
    </xf>
    <xf borderId="58" fillId="2" fontId="42" numFmtId="166" xfId="0" applyAlignment="1" applyBorder="1" applyFont="1" applyNumberFormat="1">
      <alignment horizontal="center" shrinkToFit="0" vertical="center" wrapText="0"/>
    </xf>
    <xf borderId="59" fillId="2" fontId="42" numFmtId="166" xfId="0" applyAlignment="1" applyBorder="1" applyFont="1" applyNumberFormat="1">
      <alignment horizontal="center" shrinkToFit="0" vertical="center" wrapText="0"/>
    </xf>
    <xf borderId="60" fillId="2" fontId="42" numFmtId="166" xfId="0" applyAlignment="1" applyBorder="1" applyFont="1" applyNumberFormat="1">
      <alignment horizontal="center" shrinkToFit="0" vertical="center" wrapText="0"/>
    </xf>
    <xf borderId="61" fillId="2" fontId="42" numFmtId="166" xfId="0" applyAlignment="1" applyBorder="1" applyFont="1" applyNumberFormat="1">
      <alignment horizontal="center" shrinkToFit="0" vertical="center" wrapText="0"/>
    </xf>
    <xf borderId="0" fillId="0" fontId="23" numFmtId="0" xfId="0" applyAlignment="1" applyFont="1">
      <alignment horizontal="center" readingOrder="0" shrinkToFit="0" textRotation="90" vertical="center" wrapText="0"/>
    </xf>
    <xf borderId="62" fillId="0" fontId="34" numFmtId="0" xfId="0" applyAlignment="1" applyBorder="1" applyFont="1">
      <alignment horizontal="right" readingOrder="0" shrinkToFit="0" vertical="center" wrapText="0"/>
    </xf>
    <xf borderId="62" fillId="0" fontId="34" numFmtId="3" xfId="0" applyAlignment="1" applyBorder="1" applyFont="1" applyNumberFormat="1">
      <alignment horizontal="left" readingOrder="0" shrinkToFit="0" vertical="center" wrapText="0"/>
    </xf>
    <xf borderId="6" fillId="0" fontId="8" numFmtId="0" xfId="0" applyBorder="1" applyFont="1"/>
    <xf borderId="63" fillId="8" fontId="30" numFmtId="0" xfId="0" applyAlignment="1" applyBorder="1" applyFont="1">
      <alignment horizontal="center" readingOrder="0" shrinkToFit="0" vertical="center" wrapText="0"/>
    </xf>
    <xf borderId="63" fillId="0" fontId="8" numFmtId="0" xfId="0" applyBorder="1" applyFont="1"/>
    <xf borderId="63" fillId="8" fontId="47" numFmtId="0" xfId="0" applyAlignment="1" applyBorder="1" applyFont="1">
      <alignment horizontal="left" readingOrder="0" shrinkToFit="0" vertical="center" wrapText="1"/>
    </xf>
    <xf borderId="64" fillId="0" fontId="8" numFmtId="0" xfId="0" applyBorder="1" applyFont="1"/>
    <xf borderId="65" fillId="2" fontId="42" numFmtId="166" xfId="0" applyAlignment="1" applyBorder="1" applyFont="1" applyNumberFormat="1">
      <alignment horizontal="center" shrinkToFit="0" vertical="center" wrapText="0"/>
    </xf>
    <xf borderId="66" fillId="2" fontId="42" numFmtId="166" xfId="0" applyAlignment="1" applyBorder="1" applyFont="1" applyNumberFormat="1">
      <alignment horizontal="center" shrinkToFit="0" vertical="center" wrapText="0"/>
    </xf>
    <xf borderId="67" fillId="2" fontId="42" numFmtId="166" xfId="0" applyAlignment="1" applyBorder="1" applyFont="1" applyNumberFormat="1">
      <alignment horizontal="center" shrinkToFit="0" vertical="center" wrapText="0"/>
    </xf>
    <xf borderId="68" fillId="2" fontId="42" numFmtId="166" xfId="0" applyAlignment="1" applyBorder="1" applyFont="1" applyNumberFormat="1">
      <alignment horizontal="center" shrinkToFit="0" vertical="center" wrapText="0"/>
    </xf>
    <xf borderId="0" fillId="0" fontId="34" numFmtId="0" xfId="0" applyAlignment="1" applyFont="1">
      <alignment horizontal="right" readingOrder="0" shrinkToFit="0" vertical="center" wrapText="0"/>
    </xf>
    <xf borderId="0" fillId="0" fontId="34" numFmtId="166" xfId="0" applyAlignment="1" applyFont="1" applyNumberFormat="1">
      <alignment horizontal="left" readingOrder="0" shrinkToFit="0" vertical="center" wrapText="0"/>
    </xf>
    <xf borderId="0" fillId="0" fontId="30" numFmtId="0" xfId="0" applyAlignment="1" applyFont="1">
      <alignment horizontal="center" readingOrder="0" shrinkToFit="0" vertical="center" wrapText="0"/>
    </xf>
    <xf borderId="0" fillId="2" fontId="30" numFmtId="0" xfId="0" applyAlignment="1" applyFont="1">
      <alignment horizontal="center" readingOrder="0" shrinkToFit="0" vertical="center" wrapText="0"/>
    </xf>
    <xf borderId="0" fillId="2" fontId="46" numFmtId="0" xfId="0" applyAlignment="1" applyFont="1">
      <alignment horizontal="left" readingOrder="0" shrinkToFit="0" vertical="center" wrapText="1"/>
    </xf>
    <xf borderId="5" fillId="2" fontId="46" numFmtId="166" xfId="0" applyAlignment="1" applyBorder="1" applyFont="1" applyNumberFormat="1">
      <alignment horizontal="left" readingOrder="0" shrinkToFit="0" vertical="center" wrapText="1"/>
    </xf>
    <xf borderId="0" fillId="0" fontId="18" numFmtId="0" xfId="0" applyAlignment="1" applyFont="1">
      <alignment horizontal="center" vertical="center"/>
    </xf>
    <xf borderId="0" fillId="0" fontId="48" numFmtId="0" xfId="0" applyAlignment="1" applyFont="1">
      <alignment horizontal="center" shrinkToFit="0" vertical="center" wrapText="0"/>
    </xf>
    <xf borderId="0" fillId="17" fontId="49" numFmtId="0" xfId="0" applyAlignment="1" applyFill="1" applyFont="1">
      <alignment vertical="bottom"/>
    </xf>
    <xf borderId="0" fillId="17" fontId="49" numFmtId="14" xfId="0" applyAlignment="1" applyFont="1" applyNumberFormat="1">
      <alignment vertical="bottom"/>
    </xf>
    <xf borderId="0" fillId="17" fontId="50" numFmtId="0" xfId="0" applyAlignment="1" applyFont="1">
      <alignment horizontal="left" readingOrder="0" vertical="center"/>
    </xf>
    <xf borderId="0" fillId="17" fontId="50" numFmtId="0" xfId="0" applyAlignment="1" applyFont="1">
      <alignment horizontal="center" readingOrder="0" vertical="center"/>
    </xf>
    <xf borderId="0" fillId="0" fontId="49" numFmtId="0" xfId="0" applyAlignment="1" applyFont="1">
      <alignment vertical="bottom"/>
    </xf>
    <xf borderId="0" fillId="0" fontId="49" numFmtId="14" xfId="0" applyAlignment="1" applyFont="1" applyNumberFormat="1">
      <alignment vertical="bottom"/>
    </xf>
    <xf borderId="0" fillId="0" fontId="50" numFmtId="0" xfId="0" applyAlignment="1" applyFont="1">
      <alignment horizontal="left" readingOrder="0" vertical="center"/>
    </xf>
    <xf borderId="0" fillId="0" fontId="50" numFmtId="0" xfId="0" applyAlignment="1" applyFont="1">
      <alignment horizontal="center" readingOrder="0" vertical="center"/>
    </xf>
    <xf borderId="0" fillId="0" fontId="51" numFmtId="0" xfId="0" applyAlignment="1" applyFont="1">
      <alignment vertical="bottom"/>
    </xf>
    <xf borderId="0" fillId="2" fontId="52" numFmtId="0" xfId="0" applyAlignment="1" applyFont="1">
      <alignment horizontal="left" readingOrder="0"/>
    </xf>
    <xf borderId="0" fillId="0" fontId="52" numFmtId="0" xfId="0" applyAlignment="1" applyFont="1">
      <alignment readingOrder="0"/>
    </xf>
    <xf borderId="0" fillId="0" fontId="51" numFmtId="0" xfId="0" applyAlignment="1" applyFont="1">
      <alignment vertical="bottom"/>
    </xf>
    <xf borderId="0" fillId="0" fontId="53" numFmtId="0" xfId="0" applyFont="1"/>
    <xf borderId="0" fillId="0" fontId="53" numFmtId="0" xfId="0" applyAlignment="1" applyFont="1">
      <alignment horizontal="center" readingOrder="0" vertical="center"/>
    </xf>
    <xf borderId="0" fillId="0" fontId="54" numFmtId="0" xfId="0" applyAlignment="1" applyFont="1">
      <alignment vertical="bottom"/>
    </xf>
    <xf borderId="0" fillId="0" fontId="54" numFmtId="0" xfId="0" applyAlignment="1" applyFont="1">
      <alignment readingOrder="0" vertical="bottom"/>
    </xf>
    <xf borderId="0" fillId="0" fontId="55" numFmtId="0" xfId="0" applyFont="1"/>
    <xf borderId="0" fillId="0" fontId="55" numFmtId="0" xfId="0" applyAlignment="1" applyFont="1">
      <alignment horizontal="center" readingOrder="0" vertical="center"/>
    </xf>
    <xf borderId="0" fillId="0" fontId="54" numFmtId="0" xfId="0" applyAlignment="1" applyFont="1">
      <alignment readingOrder="0" vertical="top"/>
    </xf>
    <xf borderId="0" fillId="0" fontId="54" numFmtId="0" xfId="0" applyAlignment="1" applyFont="1">
      <alignment vertical="center"/>
    </xf>
    <xf borderId="0" fillId="0" fontId="54" numFmtId="0" xfId="0" applyAlignment="1" applyFont="1">
      <alignment readingOrder="0" vertical="center"/>
    </xf>
    <xf borderId="0" fillId="0" fontId="55" numFmtId="0" xfId="0" applyAlignment="1" applyFont="1">
      <alignment vertical="center"/>
    </xf>
    <xf borderId="0" fillId="0" fontId="54" numFmtId="0" xfId="0" applyAlignment="1" applyFont="1">
      <alignment vertical="bottom"/>
    </xf>
    <xf borderId="0" fillId="0" fontId="55" numFmtId="0" xfId="0" applyAlignment="1" applyFont="1">
      <alignment readingOrder="0" vertical="center"/>
    </xf>
    <xf borderId="0" fillId="0" fontId="50" numFmtId="0" xfId="0" applyAlignment="1" applyFont="1">
      <alignment readingOrder="0" vertical="center"/>
    </xf>
    <xf borderId="0" fillId="0" fontId="56" numFmtId="0" xfId="0" applyAlignment="1" applyFont="1">
      <alignment readingOrder="0"/>
    </xf>
    <xf borderId="0" fillId="0" fontId="57" numFmtId="0" xfId="0" applyAlignment="1" applyFont="1">
      <alignment readingOrder="0"/>
    </xf>
    <xf borderId="0" fillId="0" fontId="50" numFmtId="0" xfId="0" applyFont="1"/>
    <xf borderId="69" fillId="0" fontId="54" numFmtId="0" xfId="0" applyAlignment="1" applyBorder="1" applyFont="1">
      <alignment vertical="bottom"/>
    </xf>
    <xf borderId="69" fillId="0" fontId="54" numFmtId="0" xfId="0" applyAlignment="1" applyBorder="1" applyFont="1">
      <alignment vertical="bottom"/>
    </xf>
    <xf borderId="0" fillId="0" fontId="55" numFmtId="0" xfId="0" applyAlignment="1" applyFont="1">
      <alignment horizontal="right" vertical="center"/>
    </xf>
    <xf borderId="0" fillId="0" fontId="55" numFmtId="0" xfId="0" applyAlignment="1" applyFont="1">
      <alignment horizontal="right"/>
    </xf>
    <xf borderId="0" fillId="0" fontId="53" numFmtId="0" xfId="0" applyAlignment="1" applyFont="1">
      <alignment horizontal="right" vertical="center"/>
    </xf>
    <xf borderId="0" fillId="0" fontId="53" numFmtId="0" xfId="0" applyAlignment="1" applyFont="1">
      <alignment horizontal="right"/>
    </xf>
    <xf borderId="70" fillId="6" fontId="58" numFmtId="0" xfId="0" applyAlignment="1" applyBorder="1" applyFont="1">
      <alignment horizontal="center" readingOrder="0" vertical="top"/>
    </xf>
    <xf borderId="71" fillId="0" fontId="8" numFmtId="0" xfId="0" applyBorder="1" applyFont="1"/>
    <xf borderId="72" fillId="0" fontId="8" numFmtId="0" xfId="0" applyBorder="1" applyFont="1"/>
    <xf borderId="71" fillId="6" fontId="58" numFmtId="0" xfId="0" applyAlignment="1" applyBorder="1" applyFont="1">
      <alignment horizontal="center" readingOrder="0" vertical="top"/>
    </xf>
    <xf borderId="70" fillId="6" fontId="58" numFmtId="0" xfId="0" applyAlignment="1" applyBorder="1" applyFont="1">
      <alignment horizontal="right" readingOrder="0" vertical="top"/>
    </xf>
    <xf borderId="0" fillId="0" fontId="59" numFmtId="167" xfId="0" applyAlignment="1" applyFont="1" applyNumberFormat="1">
      <alignment horizontal="right" vertical="top"/>
    </xf>
    <xf borderId="0" fillId="0" fontId="60" numFmtId="0" xfId="0" applyAlignment="1" applyFont="1">
      <alignment horizontal="right" readingOrder="0" vertical="top"/>
    </xf>
    <xf borderId="73" fillId="0" fontId="22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74" fillId="0" fontId="22" numFmtId="0" xfId="0" applyAlignment="1" applyBorder="1" applyFont="1">
      <alignment horizontal="center" readingOrder="0"/>
    </xf>
    <xf borderId="75" fillId="0" fontId="58" numFmtId="0" xfId="0" applyAlignment="1" applyBorder="1" applyFont="1">
      <alignment horizontal="right" readingOrder="0" vertical="top"/>
    </xf>
    <xf borderId="71" fillId="0" fontId="54" numFmtId="2" xfId="0" applyAlignment="1" applyBorder="1" applyFont="1" applyNumberFormat="1">
      <alignment horizontal="right" readingOrder="0" vertical="center"/>
    </xf>
    <xf borderId="72" fillId="0" fontId="54" numFmtId="2" xfId="0" applyAlignment="1" applyBorder="1" applyFont="1" applyNumberFormat="1">
      <alignment horizontal="right" readingOrder="0" vertical="center"/>
    </xf>
    <xf borderId="70" fillId="0" fontId="54" numFmtId="2" xfId="0" applyAlignment="1" applyBorder="1" applyFont="1" applyNumberFormat="1">
      <alignment horizontal="right" readingOrder="0" vertical="center"/>
    </xf>
    <xf borderId="73" fillId="0" fontId="54" numFmtId="2" xfId="0" applyAlignment="1" applyBorder="1" applyFont="1" applyNumberFormat="1">
      <alignment horizontal="right" readingOrder="0" vertical="center"/>
    </xf>
    <xf borderId="0" fillId="0" fontId="54" numFmtId="2" xfId="0" applyAlignment="1" applyFont="1" applyNumberFormat="1">
      <alignment horizontal="right" readingOrder="0" vertical="center"/>
    </xf>
    <xf borderId="74" fillId="0" fontId="54" numFmtId="2" xfId="0" applyAlignment="1" applyBorder="1" applyFont="1" applyNumberFormat="1">
      <alignment horizontal="right" readingOrder="0" vertical="center"/>
    </xf>
    <xf borderId="4" fillId="0" fontId="58" numFmtId="0" xfId="0" applyAlignment="1" applyBorder="1" applyFont="1">
      <alignment horizontal="right" readingOrder="0" vertical="top"/>
    </xf>
    <xf borderId="0" fillId="0" fontId="50" numFmtId="0" xfId="0" applyAlignment="1" applyFont="1">
      <alignment vertical="center"/>
    </xf>
    <xf borderId="0" fillId="0" fontId="58" numFmtId="0" xfId="0" applyAlignment="1" applyFont="1">
      <alignment horizontal="right" readingOrder="0" vertical="top"/>
    </xf>
    <xf borderId="3" fillId="0" fontId="54" numFmtId="2" xfId="0" applyAlignment="1" applyBorder="1" applyFont="1" applyNumberFormat="1">
      <alignment horizontal="right" readingOrder="0" vertical="center"/>
    </xf>
    <xf borderId="0" fillId="18" fontId="58" numFmtId="0" xfId="0" applyAlignment="1" applyFill="1" applyFont="1">
      <alignment horizontal="right" readingOrder="0" vertical="top"/>
    </xf>
    <xf borderId="3" fillId="18" fontId="54" numFmtId="2" xfId="0" applyAlignment="1" applyBorder="1" applyFont="1" applyNumberFormat="1">
      <alignment horizontal="right" readingOrder="0" vertical="center"/>
    </xf>
    <xf borderId="0" fillId="18" fontId="54" numFmtId="2" xfId="0" applyAlignment="1" applyFont="1" applyNumberFormat="1">
      <alignment horizontal="right" readingOrder="0" vertical="center"/>
    </xf>
    <xf borderId="73" fillId="18" fontId="54" numFmtId="2" xfId="0" applyAlignment="1" applyBorder="1" applyFont="1" applyNumberFormat="1">
      <alignment horizontal="right" readingOrder="0" vertical="center"/>
    </xf>
    <xf borderId="74" fillId="18" fontId="54" numFmtId="2" xfId="0" applyAlignment="1" applyBorder="1" applyFont="1" applyNumberFormat="1">
      <alignment horizontal="right" readingOrder="0" vertical="center"/>
    </xf>
    <xf borderId="5" fillId="18" fontId="54" numFmtId="2" xfId="0" applyAlignment="1" applyBorder="1" applyFont="1" applyNumberFormat="1">
      <alignment horizontal="right" readingOrder="0" vertical="center"/>
    </xf>
    <xf borderId="6" fillId="18" fontId="54" numFmtId="2" xfId="0" applyAlignment="1" applyBorder="1" applyFont="1" applyNumberFormat="1">
      <alignment horizontal="right" readingOrder="0" vertical="center"/>
    </xf>
    <xf borderId="76" fillId="18" fontId="54" numFmtId="2" xfId="0" applyAlignment="1" applyBorder="1" applyFont="1" applyNumberFormat="1">
      <alignment horizontal="right" readingOrder="0" vertical="center"/>
    </xf>
    <xf borderId="77" fillId="18" fontId="54" numFmtId="2" xfId="0" applyAlignment="1" applyBorder="1" applyFont="1" applyNumberFormat="1">
      <alignment horizontal="right" readingOrder="0" vertical="center"/>
    </xf>
    <xf borderId="0" fillId="0" fontId="61" numFmtId="0" xfId="0" applyAlignment="1" applyFont="1">
      <alignment vertical="bottom"/>
    </xf>
    <xf borderId="6" fillId="0" fontId="62" numFmtId="0" xfId="0" applyAlignment="1" applyBorder="1" applyFont="1">
      <alignment readingOrder="0" vertical="bottom"/>
    </xf>
    <xf borderId="78" fillId="0" fontId="61" numFmtId="2" xfId="0" applyAlignment="1" applyBorder="1" applyFont="1" applyNumberFormat="1">
      <alignment horizontal="right" vertical="bottom"/>
    </xf>
    <xf borderId="69" fillId="0" fontId="61" numFmtId="2" xfId="0" applyAlignment="1" applyBorder="1" applyFont="1" applyNumberFormat="1">
      <alignment horizontal="right" vertical="bottom"/>
    </xf>
    <xf borderId="79" fillId="0" fontId="61" numFmtId="2" xfId="0" applyAlignment="1" applyBorder="1" applyFont="1" applyNumberFormat="1">
      <alignment horizontal="right" vertical="bottom"/>
    </xf>
    <xf borderId="0" fillId="6" fontId="61" numFmtId="0" xfId="0" applyAlignment="1" applyFont="1">
      <alignment vertical="bottom"/>
    </xf>
    <xf borderId="6" fillId="6" fontId="62" numFmtId="0" xfId="0" applyAlignment="1" applyBorder="1" applyFont="1">
      <alignment readingOrder="0" vertical="bottom"/>
    </xf>
    <xf borderId="78" fillId="6" fontId="61" numFmtId="2" xfId="0" applyAlignment="1" applyBorder="1" applyFont="1" applyNumberFormat="1">
      <alignment horizontal="right" vertical="bottom"/>
    </xf>
    <xf borderId="69" fillId="0" fontId="8" numFmtId="0" xfId="0" applyBorder="1" applyFont="1"/>
    <xf borderId="79" fillId="0" fontId="8" numFmtId="0" xfId="0" applyBorder="1" applyFont="1"/>
    <xf borderId="78" fillId="6" fontId="62" numFmtId="2" xfId="0" applyAlignment="1" applyBorder="1" applyFont="1" applyNumberFormat="1">
      <alignment horizontal="right" vertical="bottom"/>
    </xf>
    <xf borderId="0" fillId="0" fontId="49" numFmtId="0" xfId="0" applyAlignment="1" applyFont="1">
      <alignment vertical="bottom"/>
    </xf>
    <xf borderId="0" fillId="0" fontId="54" numFmtId="2" xfId="0" applyAlignment="1" applyFont="1" applyNumberFormat="1">
      <alignment horizontal="right" readingOrder="0" shrinkToFit="0" vertical="bottom" wrapText="0"/>
    </xf>
    <xf borderId="0" fillId="0" fontId="16" numFmtId="2" xfId="0" applyAlignment="1" applyFont="1" applyNumberFormat="1">
      <alignment horizontal="right" readingOrder="0" shrinkToFit="0" vertical="bottom" wrapText="0"/>
    </xf>
    <xf borderId="0" fillId="0" fontId="63" numFmtId="0" xfId="0" applyAlignment="1" applyFont="1">
      <alignment vertical="center"/>
    </xf>
    <xf borderId="0" fillId="0" fontId="63" numFmtId="0" xfId="0" applyAlignment="1" applyFont="1">
      <alignment horizontal="left" readingOrder="0" vertical="center"/>
    </xf>
    <xf borderId="0" fillId="0" fontId="64" numFmtId="166" xfId="0" applyAlignment="1" applyFont="1" applyNumberFormat="1">
      <alignment vertical="center"/>
    </xf>
    <xf borderId="80" fillId="0" fontId="65" numFmtId="0" xfId="0" applyAlignment="1" applyBorder="1" applyFont="1">
      <alignment vertical="bottom"/>
    </xf>
    <xf borderId="80" fillId="0" fontId="66" numFmtId="0" xfId="0" applyAlignment="1" applyBorder="1" applyFont="1">
      <alignment readingOrder="0" vertical="bottom"/>
    </xf>
    <xf borderId="80" fillId="0" fontId="66" numFmtId="0" xfId="0" applyAlignment="1" applyBorder="1" applyFont="1">
      <alignment vertical="bottom"/>
    </xf>
    <xf borderId="0" fillId="0" fontId="66" numFmtId="0" xfId="0" applyAlignment="1" applyFont="1">
      <alignment vertical="bottom"/>
    </xf>
    <xf borderId="81" fillId="0" fontId="66" numFmtId="0" xfId="0" applyAlignment="1" applyBorder="1" applyFont="1">
      <alignment readingOrder="0" vertical="bottom"/>
    </xf>
    <xf borderId="0" fillId="0" fontId="66" numFmtId="0" xfId="0" applyAlignment="1" applyFont="1">
      <alignment horizontal="right" readingOrder="0" vertical="bottom"/>
    </xf>
    <xf borderId="82" fillId="0" fontId="66" numFmtId="0" xfId="0" applyAlignment="1" applyBorder="1" applyFont="1">
      <alignment horizontal="right" readingOrder="0" vertical="bottom"/>
    </xf>
    <xf borderId="0" fillId="0" fontId="66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 shrinkToFit="0" wrapText="1"/>
    </xf>
    <xf borderId="0" fillId="0" fontId="8" numFmtId="0" xfId="0" applyAlignment="1" applyFont="1">
      <alignment horizontal="right" readingOrder="0"/>
    </xf>
    <xf borderId="83" fillId="0" fontId="66" numFmtId="0" xfId="0" applyAlignment="1" applyBorder="1" applyFont="1">
      <alignment horizontal="right" vertical="bottom"/>
    </xf>
    <xf borderId="83" fillId="0" fontId="66" numFmtId="0" xfId="0" applyAlignment="1" applyBorder="1" applyFont="1">
      <alignment horizontal="right" vertical="bottom"/>
    </xf>
    <xf borderId="84" fillId="0" fontId="66" numFmtId="0" xfId="0" applyAlignment="1" applyBorder="1" applyFont="1">
      <alignment horizontal="right" vertical="bottom"/>
    </xf>
    <xf borderId="0" fillId="0" fontId="8" numFmtId="166" xfId="0" applyAlignment="1" applyFont="1" applyNumberFormat="1">
      <alignment horizontal="right" readingOrder="0"/>
    </xf>
    <xf borderId="85" fillId="0" fontId="66" numFmtId="0" xfId="0" applyAlignment="1" applyBorder="1" applyFont="1">
      <alignment readingOrder="0" vertical="bottom"/>
    </xf>
    <xf borderId="0" fillId="0" fontId="66" numFmtId="166" xfId="0" applyAlignment="1" applyFont="1" applyNumberFormat="1">
      <alignment horizontal="right" vertical="bottom"/>
    </xf>
    <xf borderId="0" fillId="0" fontId="66" numFmtId="166" xfId="0" applyAlignment="1" applyFont="1" applyNumberFormat="1">
      <alignment horizontal="right" readingOrder="0" vertical="bottom"/>
    </xf>
    <xf borderId="82" fillId="0" fontId="66" numFmtId="166" xfId="0" applyAlignment="1" applyBorder="1" applyFont="1" applyNumberFormat="1">
      <alignment horizontal="right" vertical="bottom"/>
    </xf>
    <xf borderId="0" fillId="0" fontId="8" numFmtId="1" xfId="0" applyAlignment="1" applyFont="1" applyNumberFormat="1">
      <alignment horizontal="right" readingOrder="0"/>
    </xf>
    <xf borderId="0" fillId="0" fontId="8" numFmtId="0" xfId="0" applyAlignment="1" applyFont="1">
      <alignment horizontal="right"/>
    </xf>
    <xf borderId="86" fillId="0" fontId="66" numFmtId="0" xfId="0" applyAlignment="1" applyBorder="1" applyFont="1">
      <alignment readingOrder="0" vertical="bottom"/>
    </xf>
    <xf borderId="83" fillId="0" fontId="66" numFmtId="166" xfId="0" applyAlignment="1" applyBorder="1" applyFont="1" applyNumberFormat="1">
      <alignment horizontal="right" vertical="bottom"/>
    </xf>
    <xf borderId="84" fillId="0" fontId="66" numFmtId="166" xfId="0" applyAlignment="1" applyBorder="1" applyFont="1" applyNumberFormat="1">
      <alignment horizontal="right" vertical="bottom"/>
    </xf>
    <xf borderId="0" fillId="0" fontId="66" numFmtId="4" xfId="0" applyAlignment="1" applyFont="1" applyNumberFormat="1">
      <alignment horizontal="right" vertical="bottom"/>
    </xf>
    <xf borderId="82" fillId="0" fontId="66" numFmtId="4" xfId="0" applyAlignment="1" applyBorder="1" applyFont="1" applyNumberFormat="1">
      <alignment horizontal="right" vertical="bottom"/>
    </xf>
    <xf borderId="81" fillId="0" fontId="66" numFmtId="0" xfId="0" applyAlignment="1" applyBorder="1" applyFont="1">
      <alignment vertical="bottom"/>
    </xf>
    <xf borderId="83" fillId="0" fontId="66" numFmtId="4" xfId="0" applyAlignment="1" applyBorder="1" applyFont="1" applyNumberFormat="1">
      <alignment horizontal="right" vertical="bottom"/>
    </xf>
    <xf borderId="84" fillId="0" fontId="66" numFmtId="4" xfId="0" applyAlignment="1" applyBorder="1" applyFont="1" applyNumberFormat="1">
      <alignment horizontal="right" vertical="bottom"/>
    </xf>
    <xf borderId="87" fillId="0" fontId="66" numFmtId="166" xfId="0" applyAlignment="1" applyBorder="1" applyFont="1" applyNumberFormat="1">
      <alignment horizontal="right" vertical="bottom"/>
    </xf>
    <xf borderId="81" fillId="0" fontId="66" numFmtId="166" xfId="0" applyAlignment="1" applyBorder="1" applyFont="1" applyNumberFormat="1">
      <alignment horizontal="right" vertical="bottom"/>
    </xf>
    <xf borderId="88" fillId="0" fontId="66" numFmtId="166" xfId="0" applyAlignment="1" applyBorder="1" applyFont="1" applyNumberFormat="1">
      <alignment readingOrder="0" vertical="bottom"/>
    </xf>
    <xf borderId="80" fillId="0" fontId="66" numFmtId="166" xfId="0" applyAlignment="1" applyBorder="1" applyFont="1" applyNumberFormat="1">
      <alignment readingOrder="0" vertical="bottom"/>
    </xf>
    <xf borderId="89" fillId="0" fontId="66" numFmtId="166" xfId="0" applyAlignment="1" applyBorder="1" applyFont="1" applyNumberFormat="1">
      <alignment horizontal="right" vertical="bottom"/>
    </xf>
    <xf borderId="90" fillId="0" fontId="66" numFmtId="166" xfId="0" applyAlignment="1" applyBorder="1" applyFont="1" applyNumberFormat="1">
      <alignment horizontal="right" vertical="bottom"/>
    </xf>
    <xf borderId="91" fillId="0" fontId="66" numFmtId="166" xfId="0" applyAlignment="1" applyBorder="1" applyFont="1" applyNumberFormat="1">
      <alignment horizontal="right" vertical="bottom"/>
    </xf>
    <xf borderId="85" fillId="0" fontId="66" numFmtId="0" xfId="0" applyAlignment="1" applyBorder="1" applyFont="1">
      <alignment vertical="bottom"/>
    </xf>
    <xf borderId="91" fillId="0" fontId="66" numFmtId="0" xfId="0" applyAlignment="1" applyBorder="1" applyFont="1">
      <alignment horizontal="right" vertical="bottom"/>
    </xf>
    <xf borderId="0" fillId="0" fontId="66" numFmtId="0" xfId="0" applyAlignment="1" applyFont="1">
      <alignment horizontal="right" vertical="bottom"/>
    </xf>
    <xf borderId="82" fillId="0" fontId="66" numFmtId="0" xfId="0" applyAlignment="1" applyBorder="1" applyFont="1">
      <alignment horizontal="right" vertical="bottom"/>
    </xf>
    <xf borderId="88" fillId="0" fontId="66" numFmtId="166" xfId="0" applyAlignment="1" applyBorder="1" applyFont="1" applyNumberFormat="1">
      <alignment horizontal="right" vertical="bottom"/>
    </xf>
    <xf borderId="88" fillId="0" fontId="66" numFmtId="166" xfId="0" applyAlignment="1" applyBorder="1" applyFont="1" applyNumberFormat="1">
      <alignment vertical="bottom"/>
    </xf>
    <xf borderId="80" fillId="0" fontId="66" numFmtId="166" xfId="0" applyAlignment="1" applyBorder="1" applyFont="1" applyNumberFormat="1">
      <alignment horizontal="right" vertical="bottom"/>
    </xf>
    <xf borderId="0" fillId="0" fontId="66" numFmtId="166" xfId="0" applyAlignment="1" applyFont="1" applyNumberFormat="1">
      <alignment vertical="bottom"/>
    </xf>
    <xf borderId="80" fillId="0" fontId="65" numFmtId="0" xfId="0" applyAlignment="1" applyBorder="1" applyFont="1">
      <alignment readingOrder="0" vertical="bottom"/>
    </xf>
    <xf borderId="81" fillId="0" fontId="66" numFmtId="0" xfId="0" applyAlignment="1" applyBorder="1" applyFont="1">
      <alignment horizontal="right" readingOrder="0" vertical="bottom"/>
    </xf>
    <xf borderId="81" fillId="0" fontId="66" numFmtId="0" xfId="0" applyAlignment="1" applyBorder="1" applyFont="1">
      <alignment horizontal="right" vertical="bottom"/>
    </xf>
    <xf borderId="81" fillId="0" fontId="66" numFmtId="49" xfId="0" applyAlignment="1" applyBorder="1" applyFont="1" applyNumberFormat="1">
      <alignment horizontal="right" vertical="bottom"/>
    </xf>
    <xf borderId="86" fillId="0" fontId="66" numFmtId="0" xfId="0" applyAlignment="1" applyBorder="1" applyFont="1">
      <alignment vertical="bottom"/>
    </xf>
    <xf borderId="86" fillId="0" fontId="66" numFmtId="166" xfId="0" applyAlignment="1" applyBorder="1" applyFont="1" applyNumberFormat="1">
      <alignment horizontal="right" vertical="bottom"/>
    </xf>
    <xf borderId="0" fillId="0" fontId="65" numFmtId="0" xfId="0" applyAlignment="1" applyFont="1">
      <alignment vertical="bottom"/>
    </xf>
    <xf borderId="0" fillId="0" fontId="66" numFmtId="0" xfId="0" applyAlignment="1" applyFont="1">
      <alignment readingOrder="0" vertical="bottom"/>
    </xf>
    <xf borderId="85" fillId="19" fontId="66" numFmtId="0" xfId="0" applyAlignment="1" applyBorder="1" applyFill="1" applyFont="1">
      <alignment readingOrder="0"/>
    </xf>
    <xf borderId="85" fillId="0" fontId="66" numFmtId="0" xfId="0" applyAlignment="1" applyBorder="1" applyFont="1">
      <alignment horizontal="right" readingOrder="0" vertical="bottom"/>
    </xf>
    <xf borderId="89" fillId="0" fontId="66" numFmtId="0" xfId="0" applyAlignment="1" applyBorder="1" applyFont="1">
      <alignment horizontal="right" readingOrder="0" shrinkToFit="0" vertical="bottom" wrapText="1"/>
    </xf>
    <xf borderId="85" fillId="0" fontId="66" numFmtId="0" xfId="0" applyAlignment="1" applyBorder="1" applyFont="1">
      <alignment horizontal="right" readingOrder="0" shrinkToFit="0" vertical="bottom" wrapText="1"/>
    </xf>
    <xf borderId="81" fillId="0" fontId="66" numFmtId="0" xfId="0" applyAlignment="1" applyBorder="1" applyFont="1">
      <alignment horizontal="right" readingOrder="0" shrinkToFit="0" vertical="bottom" wrapText="1"/>
    </xf>
    <xf borderId="81" fillId="4" fontId="66" numFmtId="0" xfId="0" applyAlignment="1" applyBorder="1" applyFont="1">
      <alignment horizontal="right" readingOrder="0" shrinkToFit="0" vertical="bottom" wrapText="1"/>
    </xf>
    <xf borderId="86" fillId="0" fontId="66" numFmtId="0" xfId="0" applyAlignment="1" applyBorder="1" applyFont="1">
      <alignment horizontal="right" vertical="bottom"/>
    </xf>
    <xf borderId="82" fillId="0" fontId="66" numFmtId="166" xfId="0" applyAlignment="1" applyBorder="1" applyFont="1" applyNumberFormat="1">
      <alignment horizontal="right" readingOrder="0" vertical="bottom"/>
    </xf>
    <xf borderId="0" fillId="0" fontId="8" numFmtId="0" xfId="0" applyFont="1"/>
    <xf borderId="0" fillId="0" fontId="8" numFmtId="166" xfId="0" applyFont="1" applyNumberFormat="1"/>
    <xf borderId="0" fillId="0" fontId="66" numFmtId="0" xfId="0" applyAlignment="1" applyFont="1">
      <alignment vertical="bottom"/>
    </xf>
    <xf borderId="0" fillId="0" fontId="65" numFmtId="0" xfId="0" applyAlignment="1" applyFont="1">
      <alignment readingOrder="0" vertical="bottom"/>
    </xf>
    <xf borderId="85" fillId="0" fontId="8" numFmtId="166" xfId="0" applyBorder="1" applyFont="1" applyNumberFormat="1"/>
    <xf borderId="85" fillId="0" fontId="66" numFmtId="166" xfId="0" applyAlignment="1" applyBorder="1" applyFont="1" applyNumberFormat="1">
      <alignment horizontal="right" vertical="bottom"/>
    </xf>
    <xf borderId="81" fillId="0" fontId="8" numFmtId="166" xfId="0" applyBorder="1" applyFont="1" applyNumberFormat="1"/>
    <xf borderId="81" fillId="0" fontId="67" numFmtId="0" xfId="0" applyBorder="1" applyFont="1"/>
    <xf borderId="86" fillId="0" fontId="8" numFmtId="0" xfId="0" applyBorder="1" applyFont="1"/>
    <xf borderId="88" fillId="0" fontId="8" numFmtId="0" xfId="0" applyBorder="1" applyFont="1"/>
    <xf borderId="86" fillId="0" fontId="66" numFmtId="166" xfId="0" applyAlignment="1" applyBorder="1" applyFont="1" applyNumberFormat="1">
      <alignment readingOrder="0" vertical="bottom"/>
    </xf>
    <xf borderId="80" fillId="0" fontId="8" numFmtId="166" xfId="0" applyBorder="1" applyFont="1" applyNumberFormat="1"/>
    <xf borderId="80" fillId="0" fontId="68" numFmtId="0" xfId="0" applyAlignment="1" applyBorder="1" applyFont="1">
      <alignment readingOrder="0" vertical="bottom"/>
    </xf>
    <xf borderId="80" fillId="0" fontId="69" numFmtId="0" xfId="0" applyAlignment="1" applyBorder="1" applyFont="1">
      <alignment readingOrder="0" vertical="bottom"/>
    </xf>
    <xf borderId="80" fillId="0" fontId="69" numFmtId="0" xfId="0" applyAlignment="1" applyBorder="1" applyFont="1">
      <alignment vertical="bottom"/>
    </xf>
    <xf borderId="80" fillId="0" fontId="69" numFmtId="0" xfId="0" applyAlignment="1" applyBorder="1" applyFont="1">
      <alignment horizontal="right" readingOrder="0" vertical="bottom"/>
    </xf>
    <xf borderId="80" fillId="0" fontId="69" numFmtId="166" xfId="0" applyBorder="1" applyFont="1" applyNumberFormat="1"/>
    <xf borderId="80" fillId="0" fontId="69" numFmtId="166" xfId="0" applyAlignment="1" applyBorder="1" applyFont="1" applyNumberFormat="1">
      <alignment horizontal="right" vertical="bottom"/>
    </xf>
    <xf borderId="80" fillId="0" fontId="70" numFmtId="0" xfId="0" applyBorder="1" applyFont="1"/>
    <xf borderId="80" fillId="0" fontId="69" numFmtId="0" xfId="0" applyBorder="1" applyFont="1"/>
    <xf borderId="80" fillId="0" fontId="69" numFmtId="166" xfId="0" applyAlignment="1" applyBorder="1" applyFont="1" applyNumberFormat="1">
      <alignment readingOrder="0" vertical="bottom"/>
    </xf>
    <xf borderId="0" fillId="0" fontId="71" numFmtId="0" xfId="0" applyAlignment="1" applyFont="1">
      <alignment readingOrder="0"/>
    </xf>
    <xf borderId="0" fillId="0" fontId="72" numFmtId="0" xfId="0" applyFont="1"/>
    <xf borderId="0" fillId="0" fontId="72" numFmtId="166" xfId="0" applyFont="1" applyNumberFormat="1"/>
    <xf borderId="89" fillId="0" fontId="66" numFmtId="0" xfId="0" applyAlignment="1" applyBorder="1" applyFont="1">
      <alignment readingOrder="0" vertical="bottom"/>
    </xf>
    <xf borderId="85" fillId="0" fontId="66" numFmtId="166" xfId="0" applyAlignment="1" applyBorder="1" applyFont="1" applyNumberFormat="1">
      <alignment horizontal="right" readingOrder="0" vertical="bottom"/>
    </xf>
    <xf borderId="82" fillId="0" fontId="66" numFmtId="0" xfId="0" applyAlignment="1" applyBorder="1" applyFont="1">
      <alignment vertical="bottom"/>
    </xf>
    <xf borderId="86" fillId="0" fontId="66" numFmtId="10" xfId="0" applyAlignment="1" applyBorder="1" applyFont="1" applyNumberFormat="1">
      <alignment horizontal="right" vertical="bottom"/>
    </xf>
    <xf borderId="91" fillId="0" fontId="66" numFmtId="0" xfId="0" applyAlignment="1" applyBorder="1" applyFont="1">
      <alignment readingOrder="0" vertical="bottom"/>
    </xf>
    <xf borderId="81" fillId="0" fontId="66" numFmtId="166" xfId="0" applyAlignment="1" applyBorder="1" applyFont="1" applyNumberFormat="1">
      <alignment vertical="bottom"/>
    </xf>
    <xf borderId="88" fillId="0" fontId="66" numFmtId="0" xfId="0" applyAlignment="1" applyBorder="1" applyFont="1">
      <alignment readingOrder="0" vertical="bottom"/>
    </xf>
    <xf borderId="86" fillId="0" fontId="66" numFmtId="166" xfId="0" applyAlignment="1" applyBorder="1" applyFont="1" applyNumberFormat="1">
      <alignment vertical="bottom"/>
    </xf>
    <xf borderId="0" fillId="5" fontId="65" numFmtId="0" xfId="0" applyAlignment="1" applyFont="1">
      <alignment vertical="bottom"/>
    </xf>
    <xf borderId="80" fillId="5" fontId="65" numFmtId="0" xfId="0" applyAlignment="1" applyBorder="1" applyFont="1">
      <alignment vertical="bottom"/>
    </xf>
    <xf borderId="80" fillId="5" fontId="65" numFmtId="0" xfId="0" applyAlignment="1" applyBorder="1" applyFont="1">
      <alignment readingOrder="0" vertical="bottom"/>
    </xf>
    <xf borderId="0" fillId="2" fontId="66" numFmtId="0" xfId="0" applyAlignment="1" applyFont="1">
      <alignment vertical="bottom"/>
    </xf>
    <xf borderId="81" fillId="2" fontId="66" numFmtId="0" xfId="0" applyAlignment="1" applyBorder="1" applyFont="1">
      <alignment vertical="bottom"/>
    </xf>
    <xf borderId="91" fillId="2" fontId="66" numFmtId="0" xfId="0" applyAlignment="1" applyBorder="1" applyFont="1">
      <alignment horizontal="center" readingOrder="0" vertical="bottom"/>
    </xf>
    <xf borderId="82" fillId="2" fontId="8" numFmtId="0" xfId="0" applyBorder="1" applyFont="1"/>
    <xf borderId="81" fillId="2" fontId="66" numFmtId="0" xfId="0" applyAlignment="1" applyBorder="1" applyFont="1">
      <alignment horizontal="right" vertical="bottom"/>
    </xf>
    <xf borderId="0" fillId="20" fontId="66" numFmtId="0" xfId="0" applyAlignment="1" applyFill="1" applyFont="1">
      <alignment vertical="bottom"/>
    </xf>
    <xf borderId="81" fillId="20" fontId="66" numFmtId="0" xfId="0" applyAlignment="1" applyBorder="1" applyFont="1">
      <alignment vertical="bottom"/>
    </xf>
    <xf borderId="91" fillId="20" fontId="66" numFmtId="0" xfId="0" applyAlignment="1" applyBorder="1" applyFont="1">
      <alignment horizontal="center" readingOrder="0" vertical="bottom"/>
    </xf>
    <xf borderId="82" fillId="20" fontId="8" numFmtId="0" xfId="0" applyBorder="1" applyFont="1"/>
    <xf borderId="81" fillId="20" fontId="66" numFmtId="0" xfId="0" applyAlignment="1" applyBorder="1" applyFont="1">
      <alignment horizontal="right" vertical="bottom"/>
    </xf>
    <xf borderId="82" fillId="2" fontId="66" numFmtId="0" xfId="0" applyAlignment="1" applyBorder="1" applyFont="1">
      <alignment horizontal="right" vertical="bottom"/>
    </xf>
    <xf borderId="81" fillId="20" fontId="66" numFmtId="49" xfId="0" applyAlignment="1" applyBorder="1" applyFont="1" applyNumberFormat="1">
      <alignment horizontal="right" vertical="bottom"/>
    </xf>
    <xf borderId="82" fillId="20" fontId="66" numFmtId="49" xfId="0" applyAlignment="1" applyBorder="1" applyFont="1" applyNumberFormat="1">
      <alignment horizontal="right" readingOrder="0" vertical="bottom"/>
    </xf>
    <xf borderId="80" fillId="2" fontId="66" numFmtId="0" xfId="0" applyAlignment="1" applyBorder="1" applyFont="1">
      <alignment vertical="bottom"/>
    </xf>
    <xf borderId="80" fillId="2" fontId="66" numFmtId="166" xfId="0" applyAlignment="1" applyBorder="1" applyFont="1" applyNumberFormat="1">
      <alignment horizontal="right" vertical="bottom"/>
    </xf>
    <xf borderId="81" fillId="20" fontId="66" numFmtId="166" xfId="0" applyAlignment="1" applyBorder="1" applyFont="1" applyNumberFormat="1">
      <alignment horizontal="right" vertical="bottom"/>
    </xf>
    <xf borderId="82" fillId="20" fontId="66" numFmtId="166" xfId="0" applyAlignment="1" applyBorder="1" applyFont="1" applyNumberFormat="1">
      <alignment horizontal="right" vertical="bottom"/>
    </xf>
    <xf borderId="86" fillId="2" fontId="66" numFmtId="0" xfId="0" applyAlignment="1" applyBorder="1" applyFont="1">
      <alignment vertical="bottom"/>
    </xf>
    <xf borderId="86" fillId="2" fontId="66" numFmtId="166" xfId="0" applyAlignment="1" applyBorder="1" applyFont="1" applyNumberFormat="1">
      <alignment horizontal="right" vertical="bottom"/>
    </xf>
    <xf borderId="84" fillId="2" fontId="66" numFmtId="166" xfId="0" applyAlignment="1" applyBorder="1" applyFont="1" applyNumberFormat="1">
      <alignment horizontal="right" vertical="bottom"/>
    </xf>
    <xf borderId="92" fillId="6" fontId="58" numFmtId="0" xfId="0" applyAlignment="1" applyBorder="1" applyFont="1">
      <alignment horizontal="center" readingOrder="0" vertical="top"/>
    </xf>
    <xf borderId="72" fillId="6" fontId="58" numFmtId="0" xfId="0" applyAlignment="1" applyBorder="1" applyFont="1">
      <alignment horizontal="center" readingOrder="0" vertical="top"/>
    </xf>
    <xf borderId="92" fillId="6" fontId="58" numFmtId="0" xfId="0" applyAlignment="1" applyBorder="1" applyFont="1">
      <alignment horizontal="right" readingOrder="0" vertical="top"/>
    </xf>
    <xf borderId="93" fillId="0" fontId="22" numFmtId="0" xfId="0" applyAlignment="1" applyBorder="1" applyFont="1">
      <alignment horizontal="center" readingOrder="0"/>
    </xf>
    <xf borderId="94" fillId="0" fontId="22" numFmtId="0" xfId="0" applyAlignment="1" applyBorder="1" applyFont="1">
      <alignment horizontal="center" readingOrder="0"/>
    </xf>
    <xf borderId="95" fillId="0" fontId="58" numFmtId="0" xfId="0" applyAlignment="1" applyBorder="1" applyFont="1">
      <alignment horizontal="right" readingOrder="0" vertical="top"/>
    </xf>
    <xf borderId="92" fillId="0" fontId="54" numFmtId="2" xfId="0" applyAlignment="1" applyBorder="1" applyFont="1" applyNumberFormat="1">
      <alignment horizontal="right" readingOrder="0" vertical="center"/>
    </xf>
    <xf borderId="93" fillId="0" fontId="16" numFmtId="2" xfId="0" applyAlignment="1" applyBorder="1" applyFont="1" applyNumberFormat="1">
      <alignment horizontal="right" readingOrder="0" vertical="center"/>
    </xf>
    <xf borderId="93" fillId="0" fontId="54" numFmtId="2" xfId="0" applyAlignment="1" applyBorder="1" applyFont="1" applyNumberFormat="1">
      <alignment horizontal="right" readingOrder="0" vertical="center"/>
    </xf>
    <xf borderId="93" fillId="18" fontId="16" numFmtId="2" xfId="0" applyAlignment="1" applyBorder="1" applyFont="1" applyNumberFormat="1">
      <alignment horizontal="right" readingOrder="0" vertical="center"/>
    </xf>
    <xf borderId="96" fillId="18" fontId="16" numFmtId="2" xfId="0" applyAlignment="1" applyBorder="1" applyFont="1" applyNumberFormat="1">
      <alignment horizontal="right" readingOrder="0" vertical="center"/>
    </xf>
    <xf borderId="94" fillId="0" fontId="62" numFmtId="2" xfId="0" applyAlignment="1" applyBorder="1" applyFont="1" applyNumberFormat="1">
      <alignment horizontal="right" vertical="bottom"/>
    </xf>
    <xf borderId="0" fillId="0" fontId="63" numFmtId="0" xfId="0" applyAlignment="1" applyFont="1">
      <alignment horizontal="right" readingOrder="0" vertical="center"/>
    </xf>
    <xf borderId="0" fillId="0" fontId="63" numFmtId="166" xfId="0" applyAlignment="1" applyFont="1" applyNumberFormat="1">
      <alignment readingOrder="0" vertical="center"/>
    </xf>
    <xf borderId="4" fillId="3" fontId="73" numFmtId="0" xfId="0" applyBorder="1" applyFont="1"/>
    <xf borderId="0" fillId="3" fontId="21" numFmtId="0" xfId="0" applyAlignment="1" applyFont="1">
      <alignment horizontal="center"/>
    </xf>
    <xf borderId="0" fillId="3" fontId="23" numFmtId="0" xfId="0" applyAlignment="1" applyFont="1">
      <alignment horizontal="center" textRotation="90"/>
    </xf>
    <xf borderId="0" fillId="0" fontId="73" numFmtId="0" xfId="0" applyFont="1"/>
    <xf borderId="4" fillId="4" fontId="73" numFmtId="168" xfId="0" applyBorder="1" applyFont="1" applyNumberFormat="1"/>
    <xf borderId="6" fillId="4" fontId="26" numFmtId="0" xfId="0" applyAlignment="1" applyBorder="1" applyFont="1">
      <alignment horizontal="center" readingOrder="0"/>
    </xf>
    <xf borderId="6" fillId="5" fontId="26" numFmtId="0" xfId="0" applyAlignment="1" applyBorder="1" applyFont="1">
      <alignment horizontal="center" readingOrder="0"/>
    </xf>
    <xf borderId="7" fillId="5" fontId="26" numFmtId="0" xfId="0" applyAlignment="1" applyBorder="1" applyFont="1">
      <alignment horizontal="center" readingOrder="0"/>
    </xf>
    <xf borderId="6" fillId="6" fontId="26" numFmtId="0" xfId="0" applyAlignment="1" applyBorder="1" applyFont="1">
      <alignment horizontal="center" readingOrder="0"/>
    </xf>
    <xf borderId="0" fillId="0" fontId="73" numFmtId="0" xfId="0" applyAlignment="1" applyFont="1">
      <alignment vertical="bottom"/>
    </xf>
    <xf borderId="4" fillId="4" fontId="73" numFmtId="0" xfId="0" applyBorder="1" applyFont="1"/>
    <xf borderId="7" fillId="5" fontId="26" numFmtId="168" xfId="0" applyAlignment="1" applyBorder="1" applyFont="1" applyNumberFormat="1">
      <alignment horizontal="center"/>
    </xf>
    <xf borderId="7" fillId="5" fontId="26" numFmtId="169" xfId="0" applyAlignment="1" applyBorder="1" applyFont="1" applyNumberFormat="1">
      <alignment horizontal="center"/>
    </xf>
    <xf borderId="6" fillId="5" fontId="26" numFmtId="168" xfId="0" applyAlignment="1" applyBorder="1" applyFont="1" applyNumberFormat="1">
      <alignment horizontal="center"/>
    </xf>
    <xf borderId="4" fillId="19" fontId="8" numFmtId="0" xfId="0" applyAlignment="1" applyBorder="1" applyFont="1">
      <alignment readingOrder="0"/>
    </xf>
    <xf borderId="0" fillId="0" fontId="8" numFmtId="166" xfId="0" applyAlignment="1" applyFont="1" applyNumberFormat="1">
      <alignment readingOrder="0"/>
    </xf>
    <xf borderId="97" fillId="4" fontId="8" numFmtId="0" xfId="0" applyAlignment="1" applyBorder="1" applyFont="1">
      <alignment readingOrder="0"/>
    </xf>
    <xf borderId="98" fillId="4" fontId="8" numFmtId="166" xfId="0" applyBorder="1" applyFont="1" applyNumberFormat="1"/>
    <xf borderId="97" fillId="4" fontId="8" numFmtId="166" xfId="0" applyBorder="1" applyFont="1" applyNumberFormat="1"/>
    <xf borderId="0" fillId="2" fontId="8" numFmtId="166" xfId="0" applyFont="1" applyNumberFormat="1"/>
    <xf borderId="0" fillId="21" fontId="8" numFmtId="0" xfId="0" applyFill="1" applyFont="1"/>
    <xf borderId="0" fillId="21" fontId="74" numFmtId="0" xfId="0" applyAlignment="1" applyFont="1">
      <alignment readingOrder="0"/>
    </xf>
    <xf borderId="0" fillId="21" fontId="75" numFmtId="0" xfId="0" applyFont="1"/>
    <xf borderId="0" fillId="21" fontId="75" numFmtId="0" xfId="0" applyAlignment="1" applyFont="1">
      <alignment readingOrder="0"/>
    </xf>
    <xf borderId="0" fillId="10" fontId="66" numFmtId="0" xfId="0" applyAlignment="1" applyFont="1">
      <alignment readingOrder="0"/>
    </xf>
    <xf borderId="0" fillId="0" fontId="66" numFmtId="0" xfId="0" applyAlignment="1" applyFont="1">
      <alignment readingOrder="0" shrinkToFit="0" wrapText="1"/>
    </xf>
    <xf borderId="0" fillId="0" fontId="66" numFmtId="0" xfId="0" applyAlignment="1" applyFont="1">
      <alignment readingOrder="0"/>
    </xf>
    <xf borderId="0" fillId="4" fontId="8" numFmtId="0" xfId="0" applyFont="1"/>
    <xf borderId="0" fillId="10" fontId="8" numFmtId="0" xfId="0" applyFont="1"/>
    <xf borderId="0" fillId="0" fontId="8" numFmtId="0" xfId="0" applyAlignment="1" applyFont="1">
      <alignment shrinkToFit="0" wrapText="1"/>
    </xf>
    <xf borderId="0" fillId="22" fontId="8" numFmtId="0" xfId="0" applyFill="1" applyFont="1"/>
    <xf borderId="0" fillId="22" fontId="8" numFmtId="0" xfId="0" applyAlignment="1" applyFont="1">
      <alignment shrinkToFit="0" wrapText="1"/>
    </xf>
    <xf borderId="0" fillId="10" fontId="8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2">
    <tableStyle count="2" pivot="0" name="Time Sheet-style">
      <tableStyleElement dxfId="1" type="firstRowStripe"/>
      <tableStyleElement dxfId="2" type="secondRowStripe"/>
    </tableStyle>
    <tableStyle count="3" pivot="0" name="Overhead Recovery(old)-style">
      <tableStyleElement dxfId="4" type="headerRow"/>
      <tableStyleElement dxfId="2" type="firstRowStripe"/>
      <tableStyleElement dxfId="5" type="secondRowStripe"/>
    </tableStyle>
    <tableStyle count="3" pivot="0" name="Overhead Recovery(old)-style 2">
      <tableStyleElement dxfId="4" type="headerRow"/>
      <tableStyleElement dxfId="2" type="firstRowStripe"/>
      <tableStyleElement dxfId="5" type="secondRowStripe"/>
    </tableStyle>
    <tableStyle count="3" pivot="0" name="Overhead Recovery(old)-style 3">
      <tableStyleElement dxfId="4" type="headerRow"/>
      <tableStyleElement dxfId="2" type="firstRowStripe"/>
      <tableStyleElement dxfId="5" type="secondRowStripe"/>
    </tableStyle>
    <tableStyle count="3" pivot="0" name="Overhead Recovery(old)-style 4">
      <tableStyleElement dxfId="4" type="headerRow"/>
      <tableStyleElement dxfId="2" type="firstRowStripe"/>
      <tableStyleElement dxfId="5" type="secondRowStripe"/>
    </tableStyle>
    <tableStyle count="3" pivot="0" name="Overhead Recovery(old)-style 5">
      <tableStyleElement dxfId="4" type="headerRow"/>
      <tableStyleElement dxfId="2" type="firstRowStripe"/>
      <tableStyleElement dxfId="5" type="secondRowStripe"/>
    </tableStyle>
    <tableStyle count="3" pivot="0" name="Overhead Recovery-style">
      <tableStyleElement dxfId="4" type="headerRow"/>
      <tableStyleElement dxfId="2" type="firstRowStripe"/>
      <tableStyleElement dxfId="5" type="secondRowStripe"/>
    </tableStyle>
    <tableStyle count="3" pivot="0" name="Overhead Recovery-style 2">
      <tableStyleElement dxfId="4" type="headerRow"/>
      <tableStyleElement dxfId="2" type="firstRowStripe"/>
      <tableStyleElement dxfId="5" type="secondRowStripe"/>
    </tableStyle>
    <tableStyle count="3" pivot="0" name="Overhead Recovery-style 3">
      <tableStyleElement dxfId="4" type="headerRow"/>
      <tableStyleElement dxfId="2" type="firstRowStripe"/>
      <tableStyleElement dxfId="5" type="secondRowStripe"/>
    </tableStyle>
    <tableStyle count="3" pivot="0" name="Overhead Recovery-style 4">
      <tableStyleElement dxfId="4" type="headerRow"/>
      <tableStyleElement dxfId="2" type="firstRowStripe"/>
      <tableStyleElement dxfId="5" type="secondRowStripe"/>
    </tableStyle>
    <tableStyle count="3" pivot="0" name="Overhead Recovery-style 5">
      <tableStyleElement dxfId="4" type="headerRow"/>
      <tableStyleElement dxfId="2" type="firstRowStripe"/>
      <tableStyleElement dxfId="5" type="secondRowStripe"/>
    </tableStyle>
    <tableStyle count="2" pivot="0" name="Labour Pay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Overhead Recovery Timeline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'Overhead Recovery'!$I$30:$L$30</c:f>
            </c:strRef>
          </c:cat>
          <c:val>
            <c:numRef>
              <c:f>'Overhead Recovery'!$I$31:$L$31</c:f>
              <c:numCache/>
            </c:numRef>
          </c:val>
        </c:ser>
        <c:axId val="1452517875"/>
        <c:axId val="310448557"/>
      </c:areaChart>
      <c:catAx>
        <c:axId val="1452517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End of _____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0448557"/>
      </c:catAx>
      <c:valAx>
        <c:axId val="310448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Business 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2517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30</xdr:row>
      <xdr:rowOff>0</xdr:rowOff>
    </xdr:from>
    <xdr:ext cx="6743700" cy="2752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3:AL54" displayName="Table_1" id="1">
  <tableColumns count="3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</tableColumns>
  <tableStyleInfo name="Time Sheet-style" showColumnStripes="0" showFirstColumn="1" showLastColumn="1" showRowStripes="1"/>
</table>
</file>

<file path=xl/tables/table10.xml><?xml version="1.0" encoding="utf-8"?>
<table xmlns="http://schemas.openxmlformats.org/spreadsheetml/2006/main" headerRowCount="0" ref="A1:E12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Overhead Recovery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G47:H56" displayName="Table_11" id="11">
  <tableColumns count="2">
    <tableColumn name="Column1" id="1"/>
    <tableColumn name="Column2" id="2"/>
  </tableColumns>
  <tableStyleInfo name="Overhead Recovery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B13:K54" displayName="Table_12" id="1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our Pay-style" showColumnStripes="0" showFirstColumn="1" showLastColumn="1" showRowStripes="1"/>
</table>
</file>

<file path=xl/tables/table2.xml><?xml version="1.0" encoding="utf-8"?>
<table xmlns="http://schemas.openxmlformats.org/spreadsheetml/2006/main" ref="A1:G12" displayName="Table_2" id="2">
  <tableColumns count="7">
    <tableColumn name="Subscription plans" id="1"/>
    <tableColumn name="Individual base licence" id="2"/>
    <tableColumn name="Business base licence" id="3"/>
    <tableColumn name="Educational base licence" id="4"/>
    <tableColumn name="Online package" id="5"/>
    <tableColumn name="Extended online package" id="6"/>
    <tableColumn name="Extended functionality package" id="7"/>
  </tableColumns>
  <tableStyleInfo name="Overhead Recovery(old)-style" showColumnStripes="0" showFirstColumn="1" showLastColumn="1" showRowStripes="1"/>
</table>
</file>

<file path=xl/tables/table3.xml><?xml version="1.0" encoding="utf-8"?>
<table xmlns="http://schemas.openxmlformats.org/spreadsheetml/2006/main" ref="A15:H20" displayName="Table_3" id="3">
  <tableColumns count="8">
    <tableColumn name="Predicted Gross profit and losses" id="1"/>
    <tableColumn name="Individual base licence" id="2"/>
    <tableColumn name="Business base licence" id="3"/>
    <tableColumn name="Educational base licence" id="4"/>
    <tableColumn name="Online package" id="5"/>
    <tableColumn name="Extended online package" id="6"/>
    <tableColumn name="Extended functionality package" id="7"/>
    <tableColumn name="Total" id="8"/>
  </tableColumns>
  <tableStyleInfo name="Overhead Recovery(old)-style 2" showColumnStripes="0" showFirstColumn="1" showLastColumn="1" showRowStripes="1"/>
</table>
</file>

<file path=xl/tables/table4.xml><?xml version="1.0" encoding="utf-8"?>
<table xmlns="http://schemas.openxmlformats.org/spreadsheetml/2006/main" headerRowCount="0" ref="A24:H32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Overhead Recovery(old)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F35:G44" displayName="Table_5" id="5">
  <tableColumns count="2">
    <tableColumn name="Column1" id="1"/>
    <tableColumn name="Column2" id="2"/>
  </tableColumns>
  <tableStyleInfo name="Overhead Recovery(old)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35:D42" displayName="Table_6" id="6">
  <tableColumns count="4">
    <tableColumn name="Labour and management data" id="1"/>
    <tableColumn name="Labour data" id="2"/>
    <tableColumn name="Management" id="3"/>
    <tableColumn name="Total" id="4"/>
  </tableColumns>
  <tableStyleInfo name="Overhead Recovery(old)-style 5" showColumnStripes="0" showFirstColumn="1" showLastColumn="1" showRowStripes="1"/>
</table>
</file>

<file path=xl/tables/table7.xml><?xml version="1.0" encoding="utf-8"?>
<table xmlns="http://schemas.openxmlformats.org/spreadsheetml/2006/main" headerRowCount="0" ref="A14:F19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verhead Recove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21:F29" display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verhead Recovery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31:D44" displayName="Table_9" id="9">
  <tableColumns count="4">
    <tableColumn name="Column1" id="1"/>
    <tableColumn name="Column2" id="2"/>
    <tableColumn name="Column3" id="3"/>
    <tableColumn name="Column4" id="4"/>
  </tableColumns>
  <tableStyleInfo name="Overhead Recovery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9" Type="http://schemas.openxmlformats.org/officeDocument/2006/relationships/table" Target="../tables/table4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1.xml"/><Relationship Id="rId10" Type="http://schemas.openxmlformats.org/officeDocument/2006/relationships/table" Target="../tables/table10.xml"/><Relationship Id="rId9" Type="http://schemas.openxmlformats.org/officeDocument/2006/relationships/table" Target="../tables/table9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15.33"/>
    <col customWidth="1" min="5" max="5" width="10.78"/>
    <col customWidth="1" min="6" max="7" width="9.33"/>
    <col customWidth="1" min="8" max="8" width="11.56"/>
    <col customWidth="1" min="9" max="47" width="8.44"/>
    <col customWidth="1" min="48" max="48" width="9.44"/>
    <col customWidth="1" min="49" max="49" width="9.0"/>
    <col customWidth="1" min="50" max="50" width="7.56"/>
    <col customWidth="1" min="51" max="51" width="20.33"/>
    <col customWidth="1" min="52" max="52" width="7.56"/>
    <col customWidth="1" min="53" max="64" width="3.0"/>
  </cols>
  <sheetData>
    <row r="1" ht="21.0" customHeight="1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21.0" customHeight="1">
      <c r="A2" s="1"/>
      <c r="B2" s="11" t="s">
        <v>0</v>
      </c>
      <c r="C2" s="12"/>
      <c r="D2" s="12"/>
      <c r="E2" s="12"/>
      <c r="F2" s="12"/>
      <c r="G2" s="11"/>
      <c r="H2" s="11"/>
      <c r="I2" s="13"/>
      <c r="J2" s="12"/>
      <c r="K2" s="12"/>
      <c r="L2" s="12"/>
      <c r="M2" s="12"/>
      <c r="N2" s="12"/>
      <c r="O2" s="14"/>
      <c r="P2" s="14"/>
      <c r="Q2" s="14"/>
      <c r="R2" s="14"/>
      <c r="S2" s="14"/>
      <c r="T2" s="14"/>
      <c r="U2" s="15"/>
      <c r="V2" s="15"/>
      <c r="W2" s="15"/>
      <c r="X2" s="15"/>
      <c r="Y2" s="15"/>
      <c r="Z2" s="15"/>
      <c r="AA2" s="15"/>
      <c r="AB2" s="15"/>
      <c r="AC2" s="16"/>
      <c r="AD2" s="16"/>
      <c r="AE2" s="16"/>
      <c r="AF2" s="16"/>
      <c r="AG2" s="17"/>
      <c r="AH2" s="17"/>
      <c r="AI2" s="17"/>
      <c r="AJ2" s="17"/>
      <c r="AK2" s="1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ht="21.0" customHeight="1">
      <c r="A3" s="1"/>
      <c r="B3" s="18"/>
      <c r="C3" s="18"/>
      <c r="D3" s="18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1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ht="21.0" customHeight="1">
      <c r="A4" s="1"/>
      <c r="B4" s="22" t="s">
        <v>1</v>
      </c>
      <c r="C4" s="22"/>
      <c r="D4" s="23"/>
      <c r="E4" s="23" t="s">
        <v>2</v>
      </c>
      <c r="F4" s="23"/>
      <c r="G4" s="23"/>
      <c r="H4" s="24"/>
      <c r="I4" s="22" t="s">
        <v>3</v>
      </c>
      <c r="J4" s="25"/>
      <c r="K4" s="25"/>
      <c r="L4" s="25"/>
      <c r="M4" s="25"/>
      <c r="N4" s="25"/>
      <c r="O4" s="25"/>
      <c r="P4" s="26" t="s">
        <v>4</v>
      </c>
      <c r="Q4" s="25"/>
      <c r="R4" s="25"/>
      <c r="S4" s="25"/>
      <c r="T4" s="25"/>
      <c r="U4" s="27"/>
      <c r="V4" s="27"/>
      <c r="W4" s="27"/>
      <c r="X4" s="27"/>
      <c r="Y4" s="27"/>
      <c r="Z4" s="27"/>
      <c r="AA4" s="27"/>
      <c r="AB4" s="27"/>
      <c r="AC4" s="28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ht="21.0" customHeight="1">
      <c r="A5" s="1"/>
      <c r="B5" s="22" t="s">
        <v>5</v>
      </c>
      <c r="C5" s="22"/>
      <c r="D5" s="29"/>
      <c r="E5" s="29" t="s">
        <v>6</v>
      </c>
      <c r="F5" s="29"/>
      <c r="G5" s="29"/>
      <c r="H5" s="30"/>
      <c r="I5" s="22" t="s">
        <v>7</v>
      </c>
      <c r="J5" s="25"/>
      <c r="K5" s="25"/>
      <c r="L5" s="25"/>
      <c r="M5" s="25"/>
      <c r="N5" s="25"/>
      <c r="O5" s="25"/>
      <c r="P5" s="31">
        <v>44602.0</v>
      </c>
      <c r="Q5" s="25"/>
      <c r="R5" s="25"/>
      <c r="S5" s="25"/>
      <c r="T5" s="25"/>
      <c r="U5" s="32"/>
      <c r="V5" s="32"/>
      <c r="W5" s="32"/>
      <c r="X5" s="32"/>
      <c r="Y5" s="32"/>
      <c r="Z5" s="32"/>
      <c r="AA5" s="32"/>
      <c r="AB5" s="33"/>
      <c r="AC5" s="28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ht="21.0" customHeight="1">
      <c r="A6" s="34"/>
      <c r="B6" s="35"/>
      <c r="C6" s="35"/>
      <c r="D6" s="35"/>
      <c r="E6" s="35"/>
      <c r="F6" s="35"/>
      <c r="G6" s="35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</row>
    <row r="7" ht="21.0" customHeight="1">
      <c r="A7" s="34"/>
      <c r="B7" s="35"/>
      <c r="C7" s="35"/>
      <c r="D7" s="35"/>
      <c r="E7" s="35"/>
      <c r="F7" s="35"/>
      <c r="G7" s="35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</row>
    <row r="8" ht="21.0" customHeight="1">
      <c r="A8" s="37"/>
      <c r="B8" s="38" t="s">
        <v>8</v>
      </c>
      <c r="C8" s="38"/>
      <c r="D8" s="39"/>
      <c r="E8" s="39"/>
      <c r="F8" s="39"/>
      <c r="G8" s="39" t="s">
        <v>9</v>
      </c>
      <c r="H8" s="39"/>
      <c r="I8" s="40" t="s">
        <v>10</v>
      </c>
      <c r="W8" s="41"/>
      <c r="X8" s="40" t="s">
        <v>11</v>
      </c>
      <c r="AK8" s="41"/>
      <c r="AL8" s="40" t="s">
        <v>12</v>
      </c>
      <c r="AU8" s="41"/>
      <c r="AV8" s="42"/>
      <c r="AW8" s="43" t="s">
        <v>13</v>
      </c>
      <c r="AX8" s="44"/>
      <c r="AY8" s="44"/>
      <c r="AZ8" s="44"/>
      <c r="BA8" s="45"/>
      <c r="BB8" s="45"/>
      <c r="BC8" s="45"/>
      <c r="BD8" s="45"/>
      <c r="BE8" s="45"/>
      <c r="BF8" s="34"/>
      <c r="BG8" s="34"/>
      <c r="BH8" s="34"/>
      <c r="BI8" s="34"/>
      <c r="BJ8" s="34"/>
      <c r="BK8" s="34"/>
      <c r="BL8" s="34"/>
    </row>
    <row r="9" ht="21.0" customHeight="1">
      <c r="A9" s="46"/>
      <c r="B9" s="47"/>
      <c r="C9" s="47"/>
      <c r="D9" s="48"/>
      <c r="E9" s="48"/>
      <c r="F9" s="48"/>
      <c r="G9" s="47" t="s">
        <v>14</v>
      </c>
      <c r="I9" s="49">
        <v>1.0</v>
      </c>
      <c r="J9" s="50">
        <v>2.0</v>
      </c>
      <c r="K9" s="50">
        <v>3.0</v>
      </c>
      <c r="L9" s="50">
        <v>4.0</v>
      </c>
      <c r="M9" s="50">
        <v>5.0</v>
      </c>
      <c r="N9" s="50">
        <v>6.0</v>
      </c>
      <c r="O9" s="50">
        <v>7.0</v>
      </c>
      <c r="P9" s="50">
        <v>8.0</v>
      </c>
      <c r="Q9" s="50">
        <v>9.0</v>
      </c>
      <c r="R9" s="50">
        <v>10.0</v>
      </c>
      <c r="S9" s="51">
        <v>11.0</v>
      </c>
      <c r="T9" s="51">
        <v>12.0</v>
      </c>
      <c r="U9" s="51">
        <v>13.0</v>
      </c>
      <c r="V9" s="51">
        <v>14.0</v>
      </c>
      <c r="W9" s="52">
        <v>15.0</v>
      </c>
      <c r="X9" s="49">
        <v>1.0</v>
      </c>
      <c r="Y9" s="50">
        <v>2.0</v>
      </c>
      <c r="Z9" s="50">
        <v>3.0</v>
      </c>
      <c r="AA9" s="50">
        <v>4.0</v>
      </c>
      <c r="AB9" s="50">
        <v>5.0</v>
      </c>
      <c r="AC9" s="50">
        <v>6.0</v>
      </c>
      <c r="AD9" s="50">
        <v>7.0</v>
      </c>
      <c r="AE9" s="50">
        <v>8.0</v>
      </c>
      <c r="AF9" s="50">
        <v>9.0</v>
      </c>
      <c r="AG9" s="50">
        <v>10.0</v>
      </c>
      <c r="AH9" s="51">
        <v>11.0</v>
      </c>
      <c r="AI9" s="51">
        <v>12.0</v>
      </c>
      <c r="AJ9" s="51">
        <v>13.0</v>
      </c>
      <c r="AK9" s="51">
        <v>14.0</v>
      </c>
      <c r="AL9" s="53">
        <v>1.0</v>
      </c>
      <c r="AM9" s="54">
        <v>2.0</v>
      </c>
      <c r="AN9" s="54">
        <v>3.0</v>
      </c>
      <c r="AO9" s="54">
        <v>4.0</v>
      </c>
      <c r="AP9" s="54">
        <v>5.0</v>
      </c>
      <c r="AQ9" s="50">
        <v>6.0</v>
      </c>
      <c r="AR9" s="50">
        <v>7.0</v>
      </c>
      <c r="AS9" s="50">
        <v>8.0</v>
      </c>
      <c r="AT9" s="50">
        <v>9.0</v>
      </c>
      <c r="AU9" s="55">
        <v>10.0</v>
      </c>
      <c r="AV9" s="56" t="s">
        <v>15</v>
      </c>
      <c r="BA9" s="44"/>
      <c r="BF9" s="34"/>
      <c r="BG9" s="34"/>
      <c r="BH9" s="34"/>
      <c r="BI9" s="34"/>
      <c r="BJ9" s="34"/>
      <c r="BK9" s="34"/>
      <c r="BL9" s="46"/>
    </row>
    <row r="10" ht="21.0" customHeight="1">
      <c r="A10" s="57"/>
      <c r="B10" s="58"/>
      <c r="C10" s="58"/>
      <c r="D10" s="59" t="s">
        <v>16</v>
      </c>
      <c r="E10" s="60"/>
      <c r="F10" s="60"/>
      <c r="G10" s="58" t="s">
        <v>17</v>
      </c>
      <c r="I10" s="61">
        <v>44466.0</v>
      </c>
      <c r="J10" s="61">
        <v>44473.0</v>
      </c>
      <c r="K10" s="61">
        <v>44480.0</v>
      </c>
      <c r="L10" s="61">
        <v>44487.0</v>
      </c>
      <c r="M10" s="61">
        <v>44494.0</v>
      </c>
      <c r="N10" s="61">
        <v>44501.0</v>
      </c>
      <c r="O10" s="61">
        <v>44508.0</v>
      </c>
      <c r="P10" s="61">
        <v>44515.0</v>
      </c>
      <c r="Q10" s="61">
        <v>44522.0</v>
      </c>
      <c r="R10" s="61">
        <v>44529.0</v>
      </c>
      <c r="S10" s="61">
        <v>44536.0</v>
      </c>
      <c r="T10" s="61">
        <v>44543.0</v>
      </c>
      <c r="U10" s="61">
        <v>44550.0</v>
      </c>
      <c r="V10" s="61">
        <v>44557.0</v>
      </c>
      <c r="W10" s="61">
        <v>44564.0</v>
      </c>
      <c r="X10" s="61">
        <v>44571.0</v>
      </c>
      <c r="Y10" s="61">
        <v>44578.0</v>
      </c>
      <c r="Z10" s="61">
        <v>44585.0</v>
      </c>
      <c r="AA10" s="61">
        <v>44592.0</v>
      </c>
      <c r="AB10" s="61">
        <v>44599.0</v>
      </c>
      <c r="AC10" s="61">
        <v>44606.0</v>
      </c>
      <c r="AD10" s="61">
        <v>44613.0</v>
      </c>
      <c r="AE10" s="61">
        <v>44620.0</v>
      </c>
      <c r="AF10" s="61">
        <v>44627.0</v>
      </c>
      <c r="AG10" s="61">
        <v>44634.0</v>
      </c>
      <c r="AH10" s="61">
        <v>44641.0</v>
      </c>
      <c r="AI10" s="61">
        <v>44648.0</v>
      </c>
      <c r="AJ10" s="61">
        <v>44655.0</v>
      </c>
      <c r="AK10" s="61">
        <v>44662.0</v>
      </c>
      <c r="AL10" s="61">
        <v>44669.0</v>
      </c>
      <c r="AM10" s="61">
        <v>44676.0</v>
      </c>
      <c r="AN10" s="61">
        <v>44683.0</v>
      </c>
      <c r="AO10" s="61">
        <v>44690.0</v>
      </c>
      <c r="AP10" s="61">
        <v>44697.0</v>
      </c>
      <c r="AQ10" s="61">
        <v>44704.0</v>
      </c>
      <c r="AR10" s="61">
        <v>44711.0</v>
      </c>
      <c r="AS10" s="61">
        <v>44718.0</v>
      </c>
      <c r="AT10" s="61">
        <v>44725.0</v>
      </c>
      <c r="AU10" s="61">
        <v>44732.0</v>
      </c>
      <c r="AV10" s="62"/>
      <c r="AX10" s="63"/>
      <c r="AY10" s="63"/>
      <c r="AZ10" s="63"/>
      <c r="BA10" s="63"/>
      <c r="BB10" s="63"/>
      <c r="BC10" s="63"/>
      <c r="BD10" s="63"/>
      <c r="BE10" s="63"/>
      <c r="BF10" s="34"/>
      <c r="BG10" s="34"/>
      <c r="BH10" s="34"/>
      <c r="BI10" s="34"/>
      <c r="BJ10" s="34"/>
      <c r="BK10" s="34"/>
      <c r="BL10" s="57"/>
    </row>
    <row r="11" ht="21.0" customHeight="1">
      <c r="A11" s="64"/>
      <c r="B11" s="65">
        <v>1.0</v>
      </c>
      <c r="C11" s="66"/>
      <c r="D11" s="67" t="s">
        <v>18</v>
      </c>
      <c r="G11" s="68" t="s">
        <v>19</v>
      </c>
      <c r="H11" s="69"/>
      <c r="I11" s="70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0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5"/>
      <c r="AL11" s="70"/>
      <c r="AM11" s="71"/>
      <c r="AN11" s="71"/>
      <c r="AO11" s="71"/>
      <c r="AP11" s="71"/>
      <c r="AQ11" s="71"/>
      <c r="AR11" s="71"/>
      <c r="AS11" s="71"/>
      <c r="AT11" s="71"/>
      <c r="AU11" s="74"/>
      <c r="AV11" s="76">
        <f t="shared" ref="AV11:AV14" si="1">SUM(I11:AU11)</f>
        <v>0</v>
      </c>
      <c r="AX11" s="77"/>
      <c r="AY11" s="78" t="s">
        <v>20</v>
      </c>
      <c r="AZ11" s="79">
        <v>3000.0</v>
      </c>
      <c r="BA11" s="77"/>
      <c r="BB11" s="77"/>
      <c r="BC11" s="77"/>
      <c r="BD11" s="77"/>
      <c r="BE11" s="77"/>
      <c r="BF11" s="34"/>
      <c r="BG11" s="34"/>
      <c r="BH11" s="34"/>
      <c r="BI11" s="34"/>
      <c r="BJ11" s="34"/>
      <c r="BK11" s="34"/>
      <c r="BL11" s="80"/>
    </row>
    <row r="12" ht="21.0" customHeight="1">
      <c r="A12" s="34"/>
      <c r="C12" s="66"/>
      <c r="G12" s="68" t="s">
        <v>21</v>
      </c>
      <c r="H12" s="69"/>
      <c r="I12" s="81"/>
      <c r="J12" s="8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83"/>
      <c r="X12" s="81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4"/>
      <c r="AL12" s="81"/>
      <c r="AM12" s="82"/>
      <c r="AN12" s="82"/>
      <c r="AO12" s="82"/>
      <c r="AP12" s="82"/>
      <c r="AQ12" s="82"/>
      <c r="AR12" s="82"/>
      <c r="AS12" s="82"/>
      <c r="AT12" s="82"/>
      <c r="AU12" s="83"/>
      <c r="AV12" s="76">
        <f t="shared" si="1"/>
        <v>0</v>
      </c>
      <c r="AX12" s="77"/>
      <c r="AY12" s="85" t="s">
        <v>22</v>
      </c>
      <c r="AZ12" s="86">
        <v>2.0</v>
      </c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87"/>
      <c r="BL12" s="87"/>
    </row>
    <row r="13" ht="21.0" customHeight="1">
      <c r="A13" s="34"/>
      <c r="C13" s="66"/>
      <c r="G13" s="68" t="s">
        <v>23</v>
      </c>
      <c r="H13" s="69"/>
      <c r="I13" s="88"/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1"/>
      <c r="U13" s="91"/>
      <c r="V13" s="91"/>
      <c r="W13" s="92"/>
      <c r="X13" s="93"/>
      <c r="Y13" s="94"/>
      <c r="Z13" s="94"/>
      <c r="AA13" s="94"/>
      <c r="AB13" s="94"/>
      <c r="AC13" s="89"/>
      <c r="AD13" s="89"/>
      <c r="AE13" s="89"/>
      <c r="AF13" s="89"/>
      <c r="AG13" s="95"/>
      <c r="AH13" s="89"/>
      <c r="AI13" s="89"/>
      <c r="AJ13" s="89"/>
      <c r="AK13" s="96"/>
      <c r="AL13" s="97">
        <f>AZ22*AZ24</f>
        <v>17000</v>
      </c>
      <c r="AM13" s="89"/>
      <c r="AN13" s="89"/>
      <c r="AO13" s="89">
        <f>AZ22*AZ23</f>
        <v>25500</v>
      </c>
      <c r="AP13" s="89"/>
      <c r="AQ13" s="89"/>
      <c r="AR13" s="89"/>
      <c r="AS13" s="89"/>
      <c r="AT13" s="89"/>
      <c r="AU13" s="92"/>
      <c r="AV13" s="76">
        <f t="shared" si="1"/>
        <v>42500</v>
      </c>
      <c r="AX13" s="77"/>
      <c r="AY13" s="85" t="s">
        <v>24</v>
      </c>
      <c r="AZ13" s="98">
        <v>0.25</v>
      </c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87"/>
      <c r="BL13" s="87"/>
    </row>
    <row r="14" ht="21.0" customHeight="1">
      <c r="A14" s="34"/>
      <c r="C14" s="66"/>
      <c r="G14" s="68" t="s">
        <v>25</v>
      </c>
      <c r="H14" s="69"/>
      <c r="I14" s="88"/>
      <c r="J14" s="89"/>
      <c r="K14" s="90"/>
      <c r="L14" s="90"/>
      <c r="M14" s="90"/>
      <c r="N14" s="90"/>
      <c r="O14" s="90"/>
      <c r="P14" s="90"/>
      <c r="Q14" s="90"/>
      <c r="R14" s="90"/>
      <c r="S14" s="90"/>
      <c r="T14" s="91"/>
      <c r="U14" s="91"/>
      <c r="V14" s="91"/>
      <c r="W14" s="92"/>
      <c r="X14" s="93"/>
      <c r="Y14" s="94"/>
      <c r="Z14" s="94"/>
      <c r="AA14" s="94"/>
      <c r="AB14" s="94"/>
      <c r="AC14" s="89"/>
      <c r="AD14" s="89"/>
      <c r="AE14" s="89"/>
      <c r="AF14" s="89">
        <f>AZ11*AZ12*AZ13</f>
        <v>1500</v>
      </c>
      <c r="AG14" s="89"/>
      <c r="AH14" s="89"/>
      <c r="AI14" s="89"/>
      <c r="AJ14" s="89"/>
      <c r="AK14" s="96"/>
      <c r="AL14" s="88"/>
      <c r="AM14" s="89"/>
      <c r="AN14" s="89">
        <f>AZ11*AZ12*AZ14</f>
        <v>3000</v>
      </c>
      <c r="AO14" s="89">
        <f>AZ11*AZ12*AZ15</f>
        <v>1500</v>
      </c>
      <c r="AP14" s="89"/>
      <c r="AQ14" s="89"/>
      <c r="AR14" s="89"/>
      <c r="AS14" s="89"/>
      <c r="AT14" s="89"/>
      <c r="AU14" s="92"/>
      <c r="AV14" s="76">
        <f t="shared" si="1"/>
        <v>6000</v>
      </c>
      <c r="AX14" s="77"/>
      <c r="AY14" s="85" t="s">
        <v>26</v>
      </c>
      <c r="AZ14" s="98">
        <v>0.5</v>
      </c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87"/>
      <c r="BL14" s="87"/>
    </row>
    <row r="15" ht="21.0" customHeight="1">
      <c r="A15" s="34"/>
      <c r="C15" s="99"/>
      <c r="D15" s="100"/>
      <c r="E15" s="100"/>
      <c r="F15" s="100"/>
      <c r="G15" s="101" t="s">
        <v>27</v>
      </c>
      <c r="H15" s="102"/>
      <c r="I15" s="103">
        <f t="shared" ref="I15:AU15" si="2">SUM(I11:I14)</f>
        <v>0</v>
      </c>
      <c r="J15" s="104">
        <f t="shared" si="2"/>
        <v>0</v>
      </c>
      <c r="K15" s="104">
        <f t="shared" si="2"/>
        <v>0</v>
      </c>
      <c r="L15" s="104">
        <f t="shared" si="2"/>
        <v>0</v>
      </c>
      <c r="M15" s="104">
        <f t="shared" si="2"/>
        <v>0</v>
      </c>
      <c r="N15" s="104">
        <f t="shared" si="2"/>
        <v>0</v>
      </c>
      <c r="O15" s="104">
        <f t="shared" si="2"/>
        <v>0</v>
      </c>
      <c r="P15" s="104">
        <f t="shared" si="2"/>
        <v>0</v>
      </c>
      <c r="Q15" s="104">
        <f t="shared" si="2"/>
        <v>0</v>
      </c>
      <c r="R15" s="104">
        <f t="shared" si="2"/>
        <v>0</v>
      </c>
      <c r="S15" s="104">
        <f t="shared" si="2"/>
        <v>0</v>
      </c>
      <c r="T15" s="104">
        <f t="shared" si="2"/>
        <v>0</v>
      </c>
      <c r="U15" s="104">
        <f t="shared" si="2"/>
        <v>0</v>
      </c>
      <c r="V15" s="104">
        <f t="shared" si="2"/>
        <v>0</v>
      </c>
      <c r="W15" s="105">
        <f t="shared" si="2"/>
        <v>0</v>
      </c>
      <c r="X15" s="103">
        <f t="shared" si="2"/>
        <v>0</v>
      </c>
      <c r="Y15" s="104">
        <f t="shared" si="2"/>
        <v>0</v>
      </c>
      <c r="Z15" s="104">
        <f t="shared" si="2"/>
        <v>0</v>
      </c>
      <c r="AA15" s="104">
        <f t="shared" si="2"/>
        <v>0</v>
      </c>
      <c r="AB15" s="104">
        <f t="shared" si="2"/>
        <v>0</v>
      </c>
      <c r="AC15" s="104">
        <f t="shared" si="2"/>
        <v>0</v>
      </c>
      <c r="AD15" s="104">
        <f t="shared" si="2"/>
        <v>0</v>
      </c>
      <c r="AE15" s="104">
        <f t="shared" si="2"/>
        <v>0</v>
      </c>
      <c r="AF15" s="104">
        <f t="shared" si="2"/>
        <v>1500</v>
      </c>
      <c r="AG15" s="104">
        <f t="shared" si="2"/>
        <v>0</v>
      </c>
      <c r="AH15" s="104">
        <f t="shared" si="2"/>
        <v>0</v>
      </c>
      <c r="AI15" s="104">
        <f t="shared" si="2"/>
        <v>0</v>
      </c>
      <c r="AJ15" s="104">
        <f t="shared" si="2"/>
        <v>0</v>
      </c>
      <c r="AK15" s="105">
        <f t="shared" si="2"/>
        <v>0</v>
      </c>
      <c r="AL15" s="103">
        <f t="shared" si="2"/>
        <v>17000</v>
      </c>
      <c r="AM15" s="104">
        <f t="shared" si="2"/>
        <v>0</v>
      </c>
      <c r="AN15" s="104">
        <f t="shared" si="2"/>
        <v>3000</v>
      </c>
      <c r="AO15" s="104">
        <f t="shared" si="2"/>
        <v>27000</v>
      </c>
      <c r="AP15" s="104">
        <f t="shared" si="2"/>
        <v>0</v>
      </c>
      <c r="AQ15" s="104">
        <f t="shared" si="2"/>
        <v>0</v>
      </c>
      <c r="AR15" s="104">
        <f t="shared" si="2"/>
        <v>0</v>
      </c>
      <c r="AS15" s="104">
        <f t="shared" si="2"/>
        <v>0</v>
      </c>
      <c r="AT15" s="104">
        <f t="shared" si="2"/>
        <v>0</v>
      </c>
      <c r="AU15" s="104">
        <f t="shared" si="2"/>
        <v>0</v>
      </c>
      <c r="AV15" s="106"/>
      <c r="AX15" s="77"/>
      <c r="AY15" s="107" t="s">
        <v>28</v>
      </c>
      <c r="AZ15" s="108">
        <v>0.25</v>
      </c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87"/>
      <c r="BL15" s="87"/>
    </row>
    <row r="16" ht="21.0" customHeight="1">
      <c r="A16" s="34"/>
      <c r="B16" s="109">
        <v>2.0</v>
      </c>
      <c r="C16" s="66"/>
      <c r="D16" s="110" t="s">
        <v>29</v>
      </c>
      <c r="G16" s="111" t="s">
        <v>30</v>
      </c>
      <c r="H16" s="69"/>
      <c r="I16" s="112">
        <v>0.0</v>
      </c>
      <c r="J16" s="113">
        <f>$AZ$16*$AZ$17*1</f>
        <v>87.5</v>
      </c>
      <c r="K16" s="113">
        <f t="shared" ref="K16:L16" si="3">$AZ$16*$AZ$17*2</f>
        <v>175</v>
      </c>
      <c r="L16" s="113">
        <f t="shared" si="3"/>
        <v>175</v>
      </c>
      <c r="M16" s="113">
        <f t="shared" ref="M16:P16" si="4">$AZ$16*$AZ$17*1</f>
        <v>87.5</v>
      </c>
      <c r="N16" s="113">
        <f t="shared" si="4"/>
        <v>87.5</v>
      </c>
      <c r="O16" s="113">
        <f t="shared" si="4"/>
        <v>87.5</v>
      </c>
      <c r="P16" s="113">
        <f t="shared" si="4"/>
        <v>87.5</v>
      </c>
      <c r="Q16" s="113">
        <f t="shared" ref="Q16:R16" si="5">$AZ$16*$AZ$17*2</f>
        <v>175</v>
      </c>
      <c r="R16" s="113">
        <f t="shared" si="5"/>
        <v>175</v>
      </c>
      <c r="S16" s="113">
        <f t="shared" ref="S16:W16" si="6">$AZ$16*$AZ$17*0</f>
        <v>0</v>
      </c>
      <c r="T16" s="113">
        <f t="shared" si="6"/>
        <v>0</v>
      </c>
      <c r="U16" s="113">
        <f t="shared" si="6"/>
        <v>0</v>
      </c>
      <c r="V16" s="113">
        <f t="shared" si="6"/>
        <v>0</v>
      </c>
      <c r="W16" s="114">
        <f t="shared" si="6"/>
        <v>0</v>
      </c>
      <c r="X16" s="115">
        <f>$AZ$16*$AZ$17*1</f>
        <v>87.5</v>
      </c>
      <c r="Y16" s="113">
        <f>$AZ$16*$AZ$17*2.5</f>
        <v>218.75</v>
      </c>
      <c r="Z16" s="113">
        <f>$AZ$16*$AZ$17*2</f>
        <v>175</v>
      </c>
      <c r="AA16" s="113">
        <f>$AZ$16*$AZ$17*2.5</f>
        <v>218.75</v>
      </c>
      <c r="AB16" s="113">
        <f>$AZ$16*$AZ$17*3</f>
        <v>262.5</v>
      </c>
      <c r="AC16" s="113">
        <f>$AZ$16*$AZ$17*5</f>
        <v>437.5</v>
      </c>
      <c r="AD16" s="113">
        <f t="shared" ref="AD16:AE16" si="7">$AZ$16*$AZ$17*3</f>
        <v>262.5</v>
      </c>
      <c r="AE16" s="113">
        <f t="shared" si="7"/>
        <v>262.5</v>
      </c>
      <c r="AF16" s="113">
        <f>$AZ$16*$AZ$17*5</f>
        <v>437.5</v>
      </c>
      <c r="AG16" s="113">
        <f>$AZ$16*$AZ$17*3</f>
        <v>262.5</v>
      </c>
      <c r="AH16" s="114">
        <f t="shared" ref="AH16:AI16" si="8">$AZ$16*$AZ$17*2</f>
        <v>175</v>
      </c>
      <c r="AI16" s="114">
        <f t="shared" si="8"/>
        <v>175</v>
      </c>
      <c r="AJ16" s="114">
        <f>$AZ$16*$AZ$17*3</f>
        <v>262.5</v>
      </c>
      <c r="AK16" s="114">
        <f>$AZ$16*$AZ$17*4</f>
        <v>350</v>
      </c>
      <c r="AL16" s="115">
        <f t="shared" ref="AL16:AO16" si="9">$AZ$16*$AZ$17*5</f>
        <v>437.5</v>
      </c>
      <c r="AM16" s="113">
        <f t="shared" si="9"/>
        <v>437.5</v>
      </c>
      <c r="AN16" s="113">
        <f t="shared" si="9"/>
        <v>437.5</v>
      </c>
      <c r="AO16" s="113">
        <f t="shared" si="9"/>
        <v>437.5</v>
      </c>
      <c r="AP16" s="113">
        <f t="shared" ref="AP16:AS16" si="10">$AZ$16*$AZ$17*6</f>
        <v>525</v>
      </c>
      <c r="AQ16" s="113">
        <f t="shared" si="10"/>
        <v>525</v>
      </c>
      <c r="AR16" s="113">
        <f t="shared" si="10"/>
        <v>525</v>
      </c>
      <c r="AS16" s="113">
        <f t="shared" si="10"/>
        <v>525</v>
      </c>
      <c r="AT16" s="113">
        <f t="shared" ref="AT16:AU16" si="11">$AZ$16*$AZ$17*1</f>
        <v>87.5</v>
      </c>
      <c r="AU16" s="113">
        <f t="shared" si="11"/>
        <v>87.5</v>
      </c>
      <c r="AV16" s="76">
        <f t="shared" ref="AV16:AV21" si="12">SUM(I16:AU16)</f>
        <v>8750</v>
      </c>
      <c r="AX16" s="116"/>
      <c r="AY16" s="78" t="s">
        <v>31</v>
      </c>
      <c r="AZ16" s="79">
        <v>12.5</v>
      </c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8"/>
      <c r="BL16" s="34"/>
    </row>
    <row r="17" ht="21.0" customHeight="1">
      <c r="A17" s="34"/>
      <c r="C17" s="66"/>
      <c r="G17" s="119" t="s">
        <v>32</v>
      </c>
      <c r="H17" s="69"/>
      <c r="I17" s="120"/>
      <c r="J17" s="121"/>
      <c r="K17" s="121"/>
      <c r="L17" s="121">
        <f>(COUNTBLANK(I17:K17)+1)*AZ19</f>
        <v>2530.769231</v>
      </c>
      <c r="M17" s="122"/>
      <c r="N17" s="122"/>
      <c r="O17" s="122">
        <f>(COUNTBLANK(M17:N17)+1)*AZ19</f>
        <v>1898.076923</v>
      </c>
      <c r="P17" s="123"/>
      <c r="Q17" s="123"/>
      <c r="R17" s="123">
        <f>(COUNTBLANK(P17:Q17)+1)*AZ19</f>
        <v>1898.076923</v>
      </c>
      <c r="S17" s="122"/>
      <c r="T17" s="122"/>
      <c r="U17" s="122"/>
      <c r="V17" s="122"/>
      <c r="W17" s="124"/>
      <c r="X17" s="125"/>
      <c r="Y17" s="122"/>
      <c r="Z17" s="122"/>
      <c r="AA17" s="122">
        <f>(COUNTBLANK(S17:Z17)+1)*AZ19</f>
        <v>5694.230769</v>
      </c>
      <c r="AB17" s="123"/>
      <c r="AC17" s="123"/>
      <c r="AD17" s="123">
        <f>(COUNTBLANK(AB17:AC17)+1)*AZ19</f>
        <v>1898.076923</v>
      </c>
      <c r="AE17" s="122"/>
      <c r="AF17" s="122"/>
      <c r="AG17" s="122">
        <f>(COUNTBLANK(AE17:AF17)+1)*AZ19</f>
        <v>1898.076923</v>
      </c>
      <c r="AH17" s="121"/>
      <c r="AI17" s="121"/>
      <c r="AJ17" s="121"/>
      <c r="AK17" s="126"/>
      <c r="AL17" s="127"/>
      <c r="AM17" s="121"/>
      <c r="AN17" s="121"/>
      <c r="AO17" s="121">
        <f>(COUNTBLANK(AH17:AN17)+1)*AZ19</f>
        <v>5061.538462</v>
      </c>
      <c r="AP17" s="128"/>
      <c r="AQ17" s="128"/>
      <c r="AR17" s="128">
        <f>(COUNTBLANK(AP17:AQ17)+1)*AZ19</f>
        <v>1898.076923</v>
      </c>
      <c r="AS17" s="121"/>
      <c r="AT17" s="121"/>
      <c r="AU17" s="129">
        <f>(COUNTBLANK(AS17:AT17)+1)*AZ19</f>
        <v>1898.076923</v>
      </c>
      <c r="AV17" s="76">
        <f t="shared" si="12"/>
        <v>24675</v>
      </c>
      <c r="AX17" s="117"/>
      <c r="AY17" s="85" t="s">
        <v>33</v>
      </c>
      <c r="AZ17" s="86">
        <v>7.0</v>
      </c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8"/>
      <c r="BL17" s="34"/>
    </row>
    <row r="18" ht="21.0" customHeight="1">
      <c r="A18" s="34"/>
      <c r="C18" s="66"/>
      <c r="G18" s="119" t="s">
        <v>34</v>
      </c>
      <c r="H18" s="69"/>
      <c r="I18" s="120"/>
      <c r="J18" s="121"/>
      <c r="K18" s="121"/>
      <c r="L18" s="121"/>
      <c r="M18" s="121"/>
      <c r="N18" s="121">
        <f t="shared" ref="N18:N19" si="13">(COUNTBLANK(I18:M18)+1)*AZ20</f>
        <v>600</v>
      </c>
      <c r="O18" s="128"/>
      <c r="P18" s="128"/>
      <c r="Q18" s="128"/>
      <c r="R18" s="128">
        <f t="shared" ref="R18:R19" si="14">(COUNTBLANK(O18:Q18)+1)*AZ20</f>
        <v>400</v>
      </c>
      <c r="S18" s="121"/>
      <c r="T18" s="121"/>
      <c r="U18" s="121"/>
      <c r="V18" s="121"/>
      <c r="W18" s="130"/>
      <c r="X18" s="120"/>
      <c r="Y18" s="121"/>
      <c r="Z18" s="121"/>
      <c r="AA18" s="121"/>
      <c r="AB18" s="121"/>
      <c r="AC18" s="121">
        <f t="shared" ref="AC18:AC19" si="15">(COUNTBLANK(S18:AB18)+1)*AZ20</f>
        <v>1100</v>
      </c>
      <c r="AD18" s="128"/>
      <c r="AE18" s="128"/>
      <c r="AF18" s="128"/>
      <c r="AG18" s="128">
        <f t="shared" ref="AG18:AG19" si="16">(COUNTBLANK(AD18:AF18)+1)*AZ20</f>
        <v>400</v>
      </c>
      <c r="AH18" s="121"/>
      <c r="AI18" s="121"/>
      <c r="AJ18" s="121"/>
      <c r="AK18" s="126"/>
      <c r="AL18" s="131"/>
      <c r="AM18" s="121"/>
      <c r="AN18" s="121"/>
      <c r="AO18" s="121"/>
      <c r="AP18" s="121"/>
      <c r="AQ18" s="121">
        <f t="shared" ref="AQ18:AQ19" si="17">(COUNTBLANK(AH18:AP18)+1)*AZ20</f>
        <v>1000</v>
      </c>
      <c r="AR18" s="128"/>
      <c r="AS18" s="128"/>
      <c r="AT18" s="128"/>
      <c r="AU18" s="132">
        <f t="shared" ref="AU18:AU19" si="18">(COUNTBLANK(AR18:AT18)+1)*AZ20</f>
        <v>400</v>
      </c>
      <c r="AV18" s="76">
        <f t="shared" si="12"/>
        <v>3900</v>
      </c>
      <c r="AX18" s="117"/>
      <c r="AY18" s="85" t="s">
        <v>35</v>
      </c>
      <c r="AZ18" s="133">
        <f>AV16/AZ16</f>
        <v>700</v>
      </c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8"/>
      <c r="BL18" s="34"/>
    </row>
    <row r="19" ht="21.0" customHeight="1">
      <c r="A19" s="34"/>
      <c r="C19" s="66"/>
      <c r="G19" s="119" t="s">
        <v>36</v>
      </c>
      <c r="H19" s="69"/>
      <c r="I19" s="120"/>
      <c r="J19" s="121"/>
      <c r="K19" s="121"/>
      <c r="L19" s="121"/>
      <c r="M19" s="121"/>
      <c r="N19" s="121">
        <f t="shared" si="13"/>
        <v>300</v>
      </c>
      <c r="O19" s="128"/>
      <c r="P19" s="128"/>
      <c r="Q19" s="128"/>
      <c r="R19" s="128">
        <f t="shared" si="14"/>
        <v>200</v>
      </c>
      <c r="S19" s="121"/>
      <c r="T19" s="121"/>
      <c r="U19" s="121"/>
      <c r="V19" s="121"/>
      <c r="W19" s="130"/>
      <c r="X19" s="120"/>
      <c r="Y19" s="121"/>
      <c r="Z19" s="121"/>
      <c r="AA19" s="121"/>
      <c r="AB19" s="121"/>
      <c r="AC19" s="121">
        <f t="shared" si="15"/>
        <v>550</v>
      </c>
      <c r="AD19" s="128"/>
      <c r="AE19" s="128"/>
      <c r="AF19" s="134"/>
      <c r="AG19" s="128">
        <f t="shared" si="16"/>
        <v>200</v>
      </c>
      <c r="AH19" s="121"/>
      <c r="AI19" s="121"/>
      <c r="AJ19" s="121"/>
      <c r="AK19" s="126"/>
      <c r="AL19" s="131"/>
      <c r="AM19" s="121"/>
      <c r="AN19" s="121"/>
      <c r="AO19" s="121"/>
      <c r="AP19" s="121"/>
      <c r="AQ19" s="121">
        <f t="shared" si="17"/>
        <v>500</v>
      </c>
      <c r="AR19" s="128"/>
      <c r="AS19" s="128"/>
      <c r="AT19" s="128"/>
      <c r="AU19" s="132">
        <f t="shared" si="18"/>
        <v>200</v>
      </c>
      <c r="AV19" s="76">
        <f t="shared" si="12"/>
        <v>1950</v>
      </c>
      <c r="AX19" s="117"/>
      <c r="AY19" s="78" t="s">
        <v>37</v>
      </c>
      <c r="AZ19" s="79">
        <f>(1400*23.5)/52</f>
        <v>632.6923077</v>
      </c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8"/>
      <c r="BL19" s="34"/>
    </row>
    <row r="20" ht="21.0" customHeight="1">
      <c r="A20" s="34"/>
      <c r="C20" s="66"/>
      <c r="G20" s="119" t="s">
        <v>38</v>
      </c>
      <c r="H20" s="69"/>
      <c r="I20" s="135"/>
      <c r="J20" s="94"/>
      <c r="K20" s="94"/>
      <c r="L20" s="94"/>
      <c r="M20" s="94"/>
      <c r="N20" s="94"/>
      <c r="O20" s="94"/>
      <c r="P20" s="94"/>
      <c r="Q20" s="94"/>
      <c r="R20" s="94"/>
      <c r="S20" s="136"/>
      <c r="T20" s="94"/>
      <c r="U20" s="94"/>
      <c r="V20" s="94"/>
      <c r="W20" s="137"/>
      <c r="X20" s="138"/>
      <c r="Y20" s="94"/>
      <c r="Z20" s="94"/>
      <c r="AA20" s="94"/>
      <c r="AB20" s="94"/>
      <c r="AC20" s="94"/>
      <c r="AD20" s="94"/>
      <c r="AE20" s="139"/>
      <c r="AF20" s="140">
        <f>AZ11*AZ12*AZ13</f>
        <v>1500</v>
      </c>
      <c r="AG20" s="141"/>
      <c r="AH20" s="94"/>
      <c r="AI20" s="94"/>
      <c r="AJ20" s="94"/>
      <c r="AK20" s="142"/>
      <c r="AL20" s="138"/>
      <c r="AM20" s="94"/>
      <c r="AN20" s="143">
        <f>AZ11*AZ12*AZ14</f>
        <v>3000</v>
      </c>
      <c r="AO20" s="143">
        <f>AZ11*AZ12*AZ15</f>
        <v>1500</v>
      </c>
      <c r="AP20" s="94"/>
      <c r="AQ20" s="94"/>
      <c r="AR20" s="94"/>
      <c r="AS20" s="94"/>
      <c r="AT20" s="94"/>
      <c r="AU20" s="137"/>
      <c r="AV20" s="76">
        <f t="shared" si="12"/>
        <v>6000</v>
      </c>
      <c r="AX20" s="117"/>
      <c r="AY20" s="85" t="s">
        <v>39</v>
      </c>
      <c r="AZ20" s="144">
        <v>100.0</v>
      </c>
      <c r="BB20" s="117"/>
      <c r="BC20" s="117"/>
      <c r="BD20" s="117"/>
      <c r="BE20" s="117"/>
      <c r="BF20" s="117"/>
      <c r="BG20" s="117"/>
      <c r="BH20" s="117"/>
      <c r="BI20" s="117"/>
      <c r="BJ20" s="117"/>
      <c r="BK20" s="118"/>
      <c r="BL20" s="34"/>
    </row>
    <row r="21" ht="21.0" customHeight="1">
      <c r="A21" s="34"/>
      <c r="C21" s="66"/>
      <c r="G21" s="119" t="s">
        <v>40</v>
      </c>
      <c r="H21" s="69"/>
      <c r="I21" s="13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6"/>
      <c r="X21" s="147"/>
      <c r="Y21" s="145"/>
      <c r="Z21" s="145"/>
      <c r="AA21" s="145"/>
      <c r="AB21" s="145"/>
      <c r="AC21" s="145"/>
      <c r="AD21" s="148"/>
      <c r="AE21" s="149"/>
      <c r="AF21" s="150"/>
      <c r="AG21" s="151">
        <f t="shared" ref="AG21:AK21" si="19">$AG$13*$AZ$26+$AZ$28</f>
        <v>0</v>
      </c>
      <c r="AH21" s="151">
        <f t="shared" si="19"/>
        <v>0</v>
      </c>
      <c r="AI21" s="151">
        <f t="shared" si="19"/>
        <v>0</v>
      </c>
      <c r="AJ21" s="151">
        <f t="shared" si="19"/>
        <v>0</v>
      </c>
      <c r="AK21" s="151">
        <f t="shared" si="19"/>
        <v>0</v>
      </c>
      <c r="AL21" s="152">
        <f t="shared" ref="AL21:AU21" si="20">($AG$13+$AL$13)*$AZ$26+$AZ$28</f>
        <v>53.07777778</v>
      </c>
      <c r="AM21" s="153">
        <f t="shared" si="20"/>
        <v>53.07777778</v>
      </c>
      <c r="AN21" s="153">
        <f t="shared" si="20"/>
        <v>53.07777778</v>
      </c>
      <c r="AO21" s="153">
        <f t="shared" si="20"/>
        <v>53.07777778</v>
      </c>
      <c r="AP21" s="153">
        <f t="shared" si="20"/>
        <v>53.07777778</v>
      </c>
      <c r="AQ21" s="153">
        <f t="shared" si="20"/>
        <v>53.07777778</v>
      </c>
      <c r="AR21" s="153">
        <f t="shared" si="20"/>
        <v>53.07777778</v>
      </c>
      <c r="AS21" s="153">
        <f t="shared" si="20"/>
        <v>53.07777778</v>
      </c>
      <c r="AT21" s="153">
        <f t="shared" si="20"/>
        <v>53.07777778</v>
      </c>
      <c r="AU21" s="153">
        <f t="shared" si="20"/>
        <v>53.07777778</v>
      </c>
      <c r="AV21" s="76">
        <f t="shared" si="12"/>
        <v>530.7777778</v>
      </c>
      <c r="AX21" s="117"/>
      <c r="AY21" s="107" t="s">
        <v>41</v>
      </c>
      <c r="AZ21" s="154">
        <v>50.0</v>
      </c>
      <c r="BB21" s="117"/>
      <c r="BC21" s="117"/>
      <c r="BD21" s="117"/>
      <c r="BE21" s="117"/>
      <c r="BF21" s="117"/>
      <c r="BG21" s="117"/>
      <c r="BH21" s="117"/>
      <c r="BI21" s="117"/>
      <c r="BJ21" s="117"/>
      <c r="BK21" s="118"/>
      <c r="BL21" s="34"/>
    </row>
    <row r="22" ht="21.0" customHeight="1">
      <c r="A22" s="34"/>
      <c r="C22" s="155"/>
      <c r="D22" s="156"/>
      <c r="E22" s="156"/>
      <c r="F22" s="156"/>
      <c r="G22" s="157" t="s">
        <v>42</v>
      </c>
      <c r="H22" s="158"/>
      <c r="I22" s="159">
        <f t="shared" ref="I22:AU22" si="21">SUM(I16:I21)</f>
        <v>0</v>
      </c>
      <c r="J22" s="159">
        <f t="shared" si="21"/>
        <v>87.5</v>
      </c>
      <c r="K22" s="159">
        <f t="shared" si="21"/>
        <v>175</v>
      </c>
      <c r="L22" s="159">
        <f t="shared" si="21"/>
        <v>2705.769231</v>
      </c>
      <c r="M22" s="159">
        <f t="shared" si="21"/>
        <v>87.5</v>
      </c>
      <c r="N22" s="159">
        <f t="shared" si="21"/>
        <v>987.5</v>
      </c>
      <c r="O22" s="159">
        <f t="shared" si="21"/>
        <v>1985.576923</v>
      </c>
      <c r="P22" s="159">
        <f t="shared" si="21"/>
        <v>87.5</v>
      </c>
      <c r="Q22" s="159">
        <f t="shared" si="21"/>
        <v>175</v>
      </c>
      <c r="R22" s="159">
        <f t="shared" si="21"/>
        <v>2673.076923</v>
      </c>
      <c r="S22" s="159">
        <f t="shared" si="21"/>
        <v>0</v>
      </c>
      <c r="T22" s="159">
        <f t="shared" si="21"/>
        <v>0</v>
      </c>
      <c r="U22" s="159">
        <f t="shared" si="21"/>
        <v>0</v>
      </c>
      <c r="V22" s="159">
        <f t="shared" si="21"/>
        <v>0</v>
      </c>
      <c r="W22" s="160">
        <f t="shared" si="21"/>
        <v>0</v>
      </c>
      <c r="X22" s="159">
        <f t="shared" si="21"/>
        <v>87.5</v>
      </c>
      <c r="Y22" s="159">
        <f t="shared" si="21"/>
        <v>218.75</v>
      </c>
      <c r="Z22" s="159">
        <f t="shared" si="21"/>
        <v>175</v>
      </c>
      <c r="AA22" s="159">
        <f t="shared" si="21"/>
        <v>5912.980769</v>
      </c>
      <c r="AB22" s="159">
        <f t="shared" si="21"/>
        <v>262.5</v>
      </c>
      <c r="AC22" s="159">
        <f t="shared" si="21"/>
        <v>2087.5</v>
      </c>
      <c r="AD22" s="159">
        <f t="shared" si="21"/>
        <v>2160.576923</v>
      </c>
      <c r="AE22" s="159">
        <f t="shared" si="21"/>
        <v>262.5</v>
      </c>
      <c r="AF22" s="159">
        <f t="shared" si="21"/>
        <v>1937.5</v>
      </c>
      <c r="AG22" s="159">
        <f t="shared" si="21"/>
        <v>2760.576923</v>
      </c>
      <c r="AH22" s="159">
        <f t="shared" si="21"/>
        <v>175</v>
      </c>
      <c r="AI22" s="159">
        <f t="shared" si="21"/>
        <v>175</v>
      </c>
      <c r="AJ22" s="159">
        <f t="shared" si="21"/>
        <v>262.5</v>
      </c>
      <c r="AK22" s="160">
        <f t="shared" si="21"/>
        <v>350</v>
      </c>
      <c r="AL22" s="159">
        <f t="shared" si="21"/>
        <v>490.5777778</v>
      </c>
      <c r="AM22" s="159">
        <f t="shared" si="21"/>
        <v>490.5777778</v>
      </c>
      <c r="AN22" s="159">
        <f t="shared" si="21"/>
        <v>3490.577778</v>
      </c>
      <c r="AO22" s="159">
        <f t="shared" si="21"/>
        <v>7052.116239</v>
      </c>
      <c r="AP22" s="159">
        <f t="shared" si="21"/>
        <v>578.0777778</v>
      </c>
      <c r="AQ22" s="159">
        <f t="shared" si="21"/>
        <v>2078.077778</v>
      </c>
      <c r="AR22" s="159">
        <f t="shared" si="21"/>
        <v>2476.154701</v>
      </c>
      <c r="AS22" s="159">
        <f t="shared" si="21"/>
        <v>578.0777778</v>
      </c>
      <c r="AT22" s="159">
        <f t="shared" si="21"/>
        <v>140.5777778</v>
      </c>
      <c r="AU22" s="160">
        <f t="shared" si="21"/>
        <v>2638.654701</v>
      </c>
      <c r="AV22" s="106"/>
      <c r="AX22" s="117"/>
      <c r="AY22" s="78" t="s">
        <v>43</v>
      </c>
      <c r="AZ22" s="79">
        <v>42500.0</v>
      </c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8"/>
      <c r="BL22" s="34"/>
    </row>
    <row r="23" ht="21.0" customHeight="1">
      <c r="A23" s="34"/>
      <c r="B23" s="161">
        <v>3.0</v>
      </c>
      <c r="C23" s="66"/>
      <c r="D23" s="162" t="s">
        <v>44</v>
      </c>
      <c r="G23" s="163" t="s">
        <v>45</v>
      </c>
      <c r="H23" s="69"/>
      <c r="I23" s="164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6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7"/>
      <c r="AL23" s="164"/>
      <c r="AM23" s="165"/>
      <c r="AN23" s="165"/>
      <c r="AO23" s="165"/>
      <c r="AP23" s="165"/>
      <c r="AQ23" s="165"/>
      <c r="AR23" s="165"/>
      <c r="AS23" s="165"/>
      <c r="AT23" s="165"/>
      <c r="AU23" s="166"/>
      <c r="AV23" s="76">
        <f t="shared" ref="AV23:AV25" si="22">SUM(I23:AU23)</f>
        <v>0</v>
      </c>
      <c r="AX23" s="168"/>
      <c r="AY23" s="85" t="s">
        <v>46</v>
      </c>
      <c r="AZ23" s="98">
        <v>0.6</v>
      </c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34"/>
      <c r="BL23" s="34"/>
    </row>
    <row r="24" ht="21.0" customHeight="1">
      <c r="A24" s="34"/>
      <c r="C24" s="66"/>
      <c r="G24" s="163" t="s">
        <v>47</v>
      </c>
      <c r="H24" s="69"/>
      <c r="I24" s="169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1"/>
      <c r="X24" s="169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2"/>
      <c r="AL24" s="169"/>
      <c r="AM24" s="170"/>
      <c r="AN24" s="170"/>
      <c r="AO24" s="170"/>
      <c r="AP24" s="170"/>
      <c r="AQ24" s="170"/>
      <c r="AR24" s="170"/>
      <c r="AS24" s="170"/>
      <c r="AT24" s="170"/>
      <c r="AU24" s="171"/>
      <c r="AV24" s="76">
        <f t="shared" si="22"/>
        <v>0</v>
      </c>
      <c r="AX24" s="168"/>
      <c r="AY24" s="85" t="s">
        <v>48</v>
      </c>
      <c r="AZ24" s="98">
        <v>0.4</v>
      </c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34"/>
      <c r="BL24" s="34"/>
    </row>
    <row r="25" ht="21.0" customHeight="1">
      <c r="A25" s="34"/>
      <c r="C25" s="66"/>
      <c r="G25" s="163" t="s">
        <v>49</v>
      </c>
      <c r="H25" s="69"/>
      <c r="I25" s="169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1"/>
      <c r="X25" s="169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2"/>
      <c r="AL25" s="169"/>
      <c r="AM25" s="170"/>
      <c r="AN25" s="170"/>
      <c r="AO25" s="170"/>
      <c r="AP25" s="170"/>
      <c r="AQ25" s="170"/>
      <c r="AR25" s="170"/>
      <c r="AS25" s="170"/>
      <c r="AT25" s="170"/>
      <c r="AU25" s="171"/>
      <c r="AV25" s="76">
        <f t="shared" si="22"/>
        <v>0</v>
      </c>
      <c r="AX25" s="168"/>
      <c r="AY25" s="85" t="s">
        <v>50</v>
      </c>
      <c r="AZ25" s="98">
        <v>0.1686</v>
      </c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34"/>
      <c r="BL25" s="34"/>
    </row>
    <row r="26" ht="21.0" customHeight="1">
      <c r="A26" s="34"/>
      <c r="C26" s="173"/>
      <c r="D26" s="174"/>
      <c r="E26" s="174"/>
      <c r="F26" s="174"/>
      <c r="G26" s="175" t="s">
        <v>51</v>
      </c>
      <c r="H26" s="176"/>
      <c r="I26" s="177">
        <f t="shared" ref="I26:AU26" si="23">SUm(I23:I25)</f>
        <v>0</v>
      </c>
      <c r="J26" s="178">
        <f t="shared" si="23"/>
        <v>0</v>
      </c>
      <c r="K26" s="178">
        <f t="shared" si="23"/>
        <v>0</v>
      </c>
      <c r="L26" s="178">
        <f t="shared" si="23"/>
        <v>0</v>
      </c>
      <c r="M26" s="178">
        <f t="shared" si="23"/>
        <v>0</v>
      </c>
      <c r="N26" s="178">
        <f t="shared" si="23"/>
        <v>0</v>
      </c>
      <c r="O26" s="178">
        <f t="shared" si="23"/>
        <v>0</v>
      </c>
      <c r="P26" s="178">
        <f t="shared" si="23"/>
        <v>0</v>
      </c>
      <c r="Q26" s="178">
        <f t="shared" si="23"/>
        <v>0</v>
      </c>
      <c r="R26" s="178">
        <f t="shared" si="23"/>
        <v>0</v>
      </c>
      <c r="S26" s="178">
        <f t="shared" si="23"/>
        <v>0</v>
      </c>
      <c r="T26" s="178">
        <f t="shared" si="23"/>
        <v>0</v>
      </c>
      <c r="U26" s="178">
        <f t="shared" si="23"/>
        <v>0</v>
      </c>
      <c r="V26" s="178">
        <f t="shared" si="23"/>
        <v>0</v>
      </c>
      <c r="W26" s="179">
        <f t="shared" si="23"/>
        <v>0</v>
      </c>
      <c r="X26" s="180">
        <f t="shared" si="23"/>
        <v>0</v>
      </c>
      <c r="Y26" s="178">
        <f t="shared" si="23"/>
        <v>0</v>
      </c>
      <c r="Z26" s="178">
        <f t="shared" si="23"/>
        <v>0</v>
      </c>
      <c r="AA26" s="178">
        <f t="shared" si="23"/>
        <v>0</v>
      </c>
      <c r="AB26" s="178">
        <f t="shared" si="23"/>
        <v>0</v>
      </c>
      <c r="AC26" s="178">
        <f t="shared" si="23"/>
        <v>0</v>
      </c>
      <c r="AD26" s="178">
        <f t="shared" si="23"/>
        <v>0</v>
      </c>
      <c r="AE26" s="178">
        <f t="shared" si="23"/>
        <v>0</v>
      </c>
      <c r="AF26" s="178">
        <f t="shared" si="23"/>
        <v>0</v>
      </c>
      <c r="AG26" s="178">
        <f t="shared" si="23"/>
        <v>0</v>
      </c>
      <c r="AH26" s="178">
        <f t="shared" si="23"/>
        <v>0</v>
      </c>
      <c r="AI26" s="178">
        <f t="shared" si="23"/>
        <v>0</v>
      </c>
      <c r="AJ26" s="178">
        <f t="shared" si="23"/>
        <v>0</v>
      </c>
      <c r="AK26" s="181">
        <f t="shared" si="23"/>
        <v>0</v>
      </c>
      <c r="AL26" s="177">
        <f t="shared" si="23"/>
        <v>0</v>
      </c>
      <c r="AM26" s="178">
        <f t="shared" si="23"/>
        <v>0</v>
      </c>
      <c r="AN26" s="178">
        <f t="shared" si="23"/>
        <v>0</v>
      </c>
      <c r="AO26" s="178">
        <f t="shared" si="23"/>
        <v>0</v>
      </c>
      <c r="AP26" s="178">
        <f t="shared" si="23"/>
        <v>0</v>
      </c>
      <c r="AQ26" s="178">
        <f t="shared" si="23"/>
        <v>0</v>
      </c>
      <c r="AR26" s="178">
        <f t="shared" si="23"/>
        <v>0</v>
      </c>
      <c r="AS26" s="178">
        <f t="shared" si="23"/>
        <v>0</v>
      </c>
      <c r="AT26" s="178">
        <f t="shared" si="23"/>
        <v>0</v>
      </c>
      <c r="AU26" s="179">
        <f t="shared" si="23"/>
        <v>0</v>
      </c>
      <c r="AV26" s="106"/>
      <c r="AX26" s="168"/>
      <c r="AY26" s="85" t="s">
        <v>52</v>
      </c>
      <c r="AZ26" s="98">
        <f>AZ25/54</f>
        <v>0.003122222222</v>
      </c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34"/>
      <c r="BL26" s="34"/>
    </row>
    <row r="27" ht="21.0" customHeight="1">
      <c r="A27" s="34"/>
      <c r="B27" s="182">
        <v>4.0</v>
      </c>
      <c r="C27" s="66"/>
      <c r="D27" s="183" t="s">
        <v>53</v>
      </c>
      <c r="G27" s="184" t="s">
        <v>54</v>
      </c>
      <c r="H27" s="69"/>
      <c r="I27" s="185">
        <f t="shared" ref="I27:AU27" si="24">I15-I22-I26</f>
        <v>0</v>
      </c>
      <c r="J27" s="186">
        <f t="shared" si="24"/>
        <v>-87.5</v>
      </c>
      <c r="K27" s="186">
        <f t="shared" si="24"/>
        <v>-175</v>
      </c>
      <c r="L27" s="186">
        <f t="shared" si="24"/>
        <v>-2705.769231</v>
      </c>
      <c r="M27" s="186">
        <f t="shared" si="24"/>
        <v>-87.5</v>
      </c>
      <c r="N27" s="186">
        <f t="shared" si="24"/>
        <v>-987.5</v>
      </c>
      <c r="O27" s="186">
        <f t="shared" si="24"/>
        <v>-1985.576923</v>
      </c>
      <c r="P27" s="186">
        <f t="shared" si="24"/>
        <v>-87.5</v>
      </c>
      <c r="Q27" s="186">
        <f t="shared" si="24"/>
        <v>-175</v>
      </c>
      <c r="R27" s="186">
        <f t="shared" si="24"/>
        <v>-2673.076923</v>
      </c>
      <c r="S27" s="186">
        <f t="shared" si="24"/>
        <v>0</v>
      </c>
      <c r="T27" s="186">
        <f t="shared" si="24"/>
        <v>0</v>
      </c>
      <c r="U27" s="186">
        <f t="shared" si="24"/>
        <v>0</v>
      </c>
      <c r="V27" s="186">
        <f t="shared" si="24"/>
        <v>0</v>
      </c>
      <c r="W27" s="187">
        <f t="shared" si="24"/>
        <v>0</v>
      </c>
      <c r="X27" s="185">
        <f t="shared" si="24"/>
        <v>-87.5</v>
      </c>
      <c r="Y27" s="186">
        <f t="shared" si="24"/>
        <v>-218.75</v>
      </c>
      <c r="Z27" s="186">
        <f t="shared" si="24"/>
        <v>-175</v>
      </c>
      <c r="AA27" s="186">
        <f t="shared" si="24"/>
        <v>-5912.980769</v>
      </c>
      <c r="AB27" s="186">
        <f t="shared" si="24"/>
        <v>-262.5</v>
      </c>
      <c r="AC27" s="186">
        <f t="shared" si="24"/>
        <v>-2087.5</v>
      </c>
      <c r="AD27" s="186">
        <f t="shared" si="24"/>
        <v>-2160.576923</v>
      </c>
      <c r="AE27" s="186">
        <f t="shared" si="24"/>
        <v>-262.5</v>
      </c>
      <c r="AF27" s="186">
        <f t="shared" si="24"/>
        <v>-437.5</v>
      </c>
      <c r="AG27" s="186">
        <f t="shared" si="24"/>
        <v>-2760.576923</v>
      </c>
      <c r="AH27" s="186">
        <f t="shared" si="24"/>
        <v>-175</v>
      </c>
      <c r="AI27" s="186">
        <f t="shared" si="24"/>
        <v>-175</v>
      </c>
      <c r="AJ27" s="186">
        <f t="shared" si="24"/>
        <v>-262.5</v>
      </c>
      <c r="AK27" s="187">
        <f t="shared" si="24"/>
        <v>-350</v>
      </c>
      <c r="AL27" s="185">
        <f t="shared" si="24"/>
        <v>16509.42222</v>
      </c>
      <c r="AM27" s="186">
        <f t="shared" si="24"/>
        <v>-490.5777778</v>
      </c>
      <c r="AN27" s="186">
        <f t="shared" si="24"/>
        <v>-490.5777778</v>
      </c>
      <c r="AO27" s="186">
        <f t="shared" si="24"/>
        <v>19947.88376</v>
      </c>
      <c r="AP27" s="186">
        <f t="shared" si="24"/>
        <v>-578.0777778</v>
      </c>
      <c r="AQ27" s="186">
        <f t="shared" si="24"/>
        <v>-2078.077778</v>
      </c>
      <c r="AR27" s="186">
        <f t="shared" si="24"/>
        <v>-2476.154701</v>
      </c>
      <c r="AS27" s="186">
        <f t="shared" si="24"/>
        <v>-578.0777778</v>
      </c>
      <c r="AT27" s="186">
        <f t="shared" si="24"/>
        <v>-140.5777778</v>
      </c>
      <c r="AU27" s="188">
        <f t="shared" si="24"/>
        <v>-2638.654701</v>
      </c>
      <c r="AV27" s="63"/>
      <c r="AW27" s="189"/>
      <c r="AX27" s="168"/>
      <c r="AY27" s="190"/>
      <c r="AZ27" s="191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34"/>
      <c r="BL27" s="34"/>
    </row>
    <row r="28" ht="21.0" customHeight="1">
      <c r="A28" s="34"/>
      <c r="B28" s="192"/>
      <c r="C28" s="193"/>
      <c r="D28" s="194"/>
      <c r="E28" s="194"/>
      <c r="F28" s="194"/>
      <c r="G28" s="195" t="s">
        <v>55</v>
      </c>
      <c r="H28" s="196"/>
      <c r="I28" s="197">
        <f t="shared" ref="I28:AU28" si="25">sum($I$27:I$27)</f>
        <v>0</v>
      </c>
      <c r="J28" s="198">
        <f t="shared" si="25"/>
        <v>-87.5</v>
      </c>
      <c r="K28" s="198">
        <f t="shared" si="25"/>
        <v>-262.5</v>
      </c>
      <c r="L28" s="198">
        <f t="shared" si="25"/>
        <v>-2968.269231</v>
      </c>
      <c r="M28" s="198">
        <f t="shared" si="25"/>
        <v>-3055.769231</v>
      </c>
      <c r="N28" s="198">
        <f t="shared" si="25"/>
        <v>-4043.269231</v>
      </c>
      <c r="O28" s="198">
        <f t="shared" si="25"/>
        <v>-6028.846154</v>
      </c>
      <c r="P28" s="198">
        <f t="shared" si="25"/>
        <v>-6116.346154</v>
      </c>
      <c r="Q28" s="198">
        <f t="shared" si="25"/>
        <v>-6291.346154</v>
      </c>
      <c r="R28" s="198">
        <f t="shared" si="25"/>
        <v>-8964.423077</v>
      </c>
      <c r="S28" s="198">
        <f t="shared" si="25"/>
        <v>-8964.423077</v>
      </c>
      <c r="T28" s="198">
        <f t="shared" si="25"/>
        <v>-8964.423077</v>
      </c>
      <c r="U28" s="198">
        <f t="shared" si="25"/>
        <v>-8964.423077</v>
      </c>
      <c r="V28" s="198">
        <f t="shared" si="25"/>
        <v>-8964.423077</v>
      </c>
      <c r="W28" s="199">
        <f t="shared" si="25"/>
        <v>-8964.423077</v>
      </c>
      <c r="X28" s="200">
        <f t="shared" si="25"/>
        <v>-9051.923077</v>
      </c>
      <c r="Y28" s="198">
        <f t="shared" si="25"/>
        <v>-9270.673077</v>
      </c>
      <c r="Z28" s="198">
        <f t="shared" si="25"/>
        <v>-9445.673077</v>
      </c>
      <c r="AA28" s="198">
        <f t="shared" si="25"/>
        <v>-15358.65385</v>
      </c>
      <c r="AB28" s="198">
        <f t="shared" si="25"/>
        <v>-15621.15385</v>
      </c>
      <c r="AC28" s="198">
        <f t="shared" si="25"/>
        <v>-17708.65385</v>
      </c>
      <c r="AD28" s="198">
        <f t="shared" si="25"/>
        <v>-19869.23077</v>
      </c>
      <c r="AE28" s="198">
        <f t="shared" si="25"/>
        <v>-20131.73077</v>
      </c>
      <c r="AF28" s="198">
        <f t="shared" si="25"/>
        <v>-20569.23077</v>
      </c>
      <c r="AG28" s="198">
        <f t="shared" si="25"/>
        <v>-23329.80769</v>
      </c>
      <c r="AH28" s="198">
        <f t="shared" si="25"/>
        <v>-23504.80769</v>
      </c>
      <c r="AI28" s="198">
        <f t="shared" si="25"/>
        <v>-23679.80769</v>
      </c>
      <c r="AJ28" s="198">
        <f t="shared" si="25"/>
        <v>-23942.30769</v>
      </c>
      <c r="AK28" s="199">
        <f t="shared" si="25"/>
        <v>-24292.30769</v>
      </c>
      <c r="AL28" s="197">
        <f t="shared" si="25"/>
        <v>-7782.88547</v>
      </c>
      <c r="AM28" s="198">
        <f t="shared" si="25"/>
        <v>-8273.463248</v>
      </c>
      <c r="AN28" s="198">
        <f t="shared" si="25"/>
        <v>-8764.041026</v>
      </c>
      <c r="AO28" s="198">
        <f t="shared" si="25"/>
        <v>11183.84274</v>
      </c>
      <c r="AP28" s="198">
        <f t="shared" si="25"/>
        <v>10605.76496</v>
      </c>
      <c r="AQ28" s="198">
        <f t="shared" si="25"/>
        <v>8527.687179</v>
      </c>
      <c r="AR28" s="198">
        <f t="shared" si="25"/>
        <v>6051.532479</v>
      </c>
      <c r="AS28" s="198">
        <f t="shared" si="25"/>
        <v>5473.454701</v>
      </c>
      <c r="AT28" s="198">
        <f t="shared" si="25"/>
        <v>5332.876923</v>
      </c>
      <c r="AU28" s="199">
        <f t="shared" si="25"/>
        <v>2694.222222</v>
      </c>
      <c r="AV28" s="63"/>
      <c r="AW28" s="189"/>
      <c r="AX28" s="168"/>
      <c r="AY28" s="201"/>
      <c r="AZ28" s="202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34"/>
      <c r="BL28" s="34"/>
    </row>
    <row r="29" ht="21.0" customHeight="1">
      <c r="A29" s="34"/>
      <c r="B29" s="203"/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183" t="s">
        <v>56</v>
      </c>
      <c r="AR29" s="206">
        <f>Sum(AV11:AV14)</f>
        <v>48500</v>
      </c>
      <c r="AS29" s="192"/>
      <c r="AT29" s="192"/>
      <c r="AU29" s="62"/>
      <c r="AV29" s="63"/>
      <c r="AW29" s="189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34"/>
      <c r="BL29" s="34"/>
    </row>
    <row r="30" ht="21.0" customHeight="1">
      <c r="A30" s="34"/>
      <c r="C30" s="204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183" t="s">
        <v>57</v>
      </c>
      <c r="AR30" s="206">
        <f>-Sum(AV16:AV21)</f>
        <v>-45805.77778</v>
      </c>
      <c r="AS30" s="192"/>
      <c r="AT30" s="192"/>
      <c r="AU30" s="62"/>
      <c r="AV30" s="63"/>
      <c r="AW30" s="34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34"/>
      <c r="BL30" s="34"/>
    </row>
    <row r="31" ht="21.0" customHeight="1">
      <c r="A31" s="34"/>
      <c r="C31" s="204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183" t="s">
        <v>58</v>
      </c>
      <c r="AR31" s="206">
        <f>AR29+AR30</f>
        <v>2694.222222</v>
      </c>
      <c r="AS31" s="192"/>
      <c r="AT31" s="192"/>
      <c r="AU31" s="62"/>
      <c r="AV31" s="63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34"/>
      <c r="BL31" s="34"/>
    </row>
    <row r="32" ht="21.0" customHeight="1">
      <c r="A32" s="34"/>
      <c r="B32" s="34"/>
      <c r="C32" s="34"/>
      <c r="D32" s="34"/>
      <c r="E32" s="34"/>
      <c r="F32" s="34"/>
      <c r="G32" s="34"/>
      <c r="H32" s="207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208"/>
      <c r="AZ32" s="208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</row>
    <row r="33" ht="21.0" customHeight="1">
      <c r="A33" s="34"/>
      <c r="B33" s="34"/>
      <c r="C33" s="34"/>
      <c r="D33" s="34"/>
      <c r="E33" s="34"/>
      <c r="F33" s="34"/>
      <c r="G33" s="34"/>
      <c r="H33" s="207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W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</row>
    <row r="34" ht="21.0" customHeight="1">
      <c r="A34" s="34"/>
      <c r="B34" s="34"/>
      <c r="C34" s="34"/>
      <c r="D34" s="34"/>
      <c r="E34" s="34"/>
      <c r="F34" s="34"/>
      <c r="G34" s="34"/>
      <c r="H34" s="207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</row>
    <row r="35" ht="21.0" customHeight="1">
      <c r="A35" s="34"/>
      <c r="B35" s="34"/>
      <c r="C35" s="34"/>
      <c r="D35" s="34"/>
      <c r="E35" s="34"/>
      <c r="F35" s="34"/>
      <c r="G35" s="34"/>
      <c r="H35" s="207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</row>
  </sheetData>
  <mergeCells count="47">
    <mergeCell ref="D11:F15"/>
    <mergeCell ref="D16:F22"/>
    <mergeCell ref="B27:B28"/>
    <mergeCell ref="D27:F28"/>
    <mergeCell ref="G27:H27"/>
    <mergeCell ref="G28:H28"/>
    <mergeCell ref="B29:B31"/>
    <mergeCell ref="G9:H9"/>
    <mergeCell ref="G10:H10"/>
    <mergeCell ref="B11:B15"/>
    <mergeCell ref="G11:H11"/>
    <mergeCell ref="G12:H12"/>
    <mergeCell ref="G13:H13"/>
    <mergeCell ref="G22:H22"/>
    <mergeCell ref="B2:F2"/>
    <mergeCell ref="I2:N2"/>
    <mergeCell ref="I4:O4"/>
    <mergeCell ref="P4:T4"/>
    <mergeCell ref="I5:O5"/>
    <mergeCell ref="P5:T5"/>
    <mergeCell ref="I8:W8"/>
    <mergeCell ref="G14:H14"/>
    <mergeCell ref="G15:H15"/>
    <mergeCell ref="G16:H16"/>
    <mergeCell ref="G17:H17"/>
    <mergeCell ref="G18:H18"/>
    <mergeCell ref="G19:H19"/>
    <mergeCell ref="G20:H20"/>
    <mergeCell ref="G21:H21"/>
    <mergeCell ref="D23:F26"/>
    <mergeCell ref="G23:H23"/>
    <mergeCell ref="G24:H24"/>
    <mergeCell ref="G25:H25"/>
    <mergeCell ref="G26:H26"/>
    <mergeCell ref="B16:B22"/>
    <mergeCell ref="B23:B26"/>
    <mergeCell ref="AN30:AQ30"/>
    <mergeCell ref="AR30:AU30"/>
    <mergeCell ref="AN31:AQ31"/>
    <mergeCell ref="AR31:AU31"/>
    <mergeCell ref="X8:AK8"/>
    <mergeCell ref="AL8:AU8"/>
    <mergeCell ref="AW8:AW26"/>
    <mergeCell ref="AV9:AV10"/>
    <mergeCell ref="BA9:BE9"/>
    <mergeCell ref="AN29:AQ29"/>
    <mergeCell ref="AR29:AU2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5.44"/>
    <col customWidth="1" min="2" max="2" width="15.33"/>
    <col customWidth="1" min="3" max="3" width="5.44"/>
    <col customWidth="1" min="4" max="4" width="6.44"/>
    <col customWidth="1" min="5" max="5" width="7.44"/>
    <col customWidth="1" min="6" max="6" width="10.0"/>
    <col customWidth="1" min="7" max="7" width="5.44"/>
    <col customWidth="1" min="8" max="8" width="6.44"/>
    <col customWidth="1" min="9" max="9" width="7.44"/>
    <col customWidth="1" min="10" max="10" width="10.0"/>
    <col customWidth="1" min="11" max="11" width="5.44"/>
    <col customWidth="1" min="12" max="12" width="6.44"/>
    <col customWidth="1" min="13" max="13" width="7.44"/>
    <col customWidth="1" min="14" max="14" width="10.0"/>
    <col customWidth="1" min="15" max="15" width="5.44"/>
    <col customWidth="1" min="16" max="16" width="6.44"/>
    <col customWidth="1" min="17" max="17" width="7.44"/>
    <col customWidth="1" min="18" max="18" width="10.0"/>
    <col customWidth="1" min="19" max="19" width="5.44"/>
    <col customWidth="1" min="20" max="20" width="6.44"/>
    <col customWidth="1" min="21" max="21" width="7.44"/>
    <col customWidth="1" min="22" max="22" width="10.0"/>
    <col customWidth="1" min="23" max="23" width="5.44"/>
    <col customWidth="1" min="24" max="24" width="6.44"/>
    <col customWidth="1" min="25" max="25" width="7.44"/>
    <col customWidth="1" min="26" max="26" width="10.0"/>
    <col customWidth="1" min="27" max="27" width="5.44"/>
    <col customWidth="1" min="28" max="28" width="6.44"/>
    <col customWidth="1" min="29" max="29" width="7.44"/>
    <col customWidth="1" min="30" max="30" width="10.0"/>
    <col customWidth="1" min="31" max="31" width="5.44"/>
    <col customWidth="1" min="32" max="32" width="6.44"/>
    <col customWidth="1" min="33" max="33" width="7.44"/>
    <col customWidth="1" min="34" max="34" width="10.0"/>
    <col customWidth="1" min="35" max="35" width="5.78"/>
    <col customWidth="1" min="36" max="36" width="6.44"/>
    <col customWidth="1" min="37" max="37" width="7.44"/>
    <col customWidth="1" min="38" max="38" width="10.0"/>
    <col customWidth="1" min="39" max="39" width="5.44"/>
  </cols>
  <sheetData>
    <row r="1" ht="6.0" customHeight="1">
      <c r="A1" s="209"/>
      <c r="B1" s="209"/>
      <c r="C1" s="210"/>
      <c r="D1" s="210"/>
      <c r="E1" s="210"/>
      <c r="F1" s="210"/>
      <c r="G1" s="210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11"/>
      <c r="AJ1" s="211"/>
      <c r="AK1" s="211"/>
      <c r="AL1" s="211"/>
      <c r="AM1" s="212"/>
    </row>
    <row r="2" ht="18.0" customHeight="1">
      <c r="A2" s="213"/>
      <c r="B2" s="213"/>
      <c r="C2" s="214"/>
      <c r="D2" s="214"/>
      <c r="E2" s="214"/>
      <c r="F2" s="214"/>
      <c r="G2" s="214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5"/>
      <c r="AJ2" s="215"/>
      <c r="AK2" s="215"/>
      <c r="AL2" s="215"/>
      <c r="AM2" s="216"/>
    </row>
    <row r="3" ht="19.5" customHeight="1">
      <c r="A3" s="217"/>
      <c r="B3" s="218" t="s">
        <v>2</v>
      </c>
      <c r="C3" s="219"/>
      <c r="D3" s="219"/>
      <c r="E3" s="219"/>
      <c r="F3" s="219"/>
      <c r="G3" s="219"/>
      <c r="H3" s="217"/>
      <c r="I3" s="217"/>
      <c r="J3" s="217"/>
      <c r="K3" s="217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1"/>
      <c r="AJ3" s="221"/>
      <c r="AK3" s="221"/>
      <c r="AL3" s="221"/>
      <c r="AM3" s="222"/>
    </row>
    <row r="4" ht="15.75" customHeight="1">
      <c r="A4" s="223"/>
      <c r="B4" s="224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5"/>
      <c r="AJ4" s="225"/>
      <c r="AK4" s="225"/>
      <c r="AL4" s="225"/>
      <c r="AM4" s="226"/>
    </row>
    <row r="5" ht="15.75" customHeight="1">
      <c r="A5" s="223"/>
      <c r="B5" s="227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5"/>
      <c r="AJ5" s="225"/>
      <c r="AK5" s="225"/>
      <c r="AL5" s="225"/>
      <c r="AM5" s="226"/>
    </row>
    <row r="6" ht="15.75" customHeight="1">
      <c r="A6" s="228"/>
      <c r="B6" s="229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30"/>
      <c r="AJ6" s="230"/>
      <c r="AK6" s="230"/>
      <c r="AL6" s="230"/>
      <c r="AM6" s="230"/>
    </row>
    <row r="7" ht="18.0" customHeight="1">
      <c r="A7" s="231"/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5"/>
      <c r="AJ7" s="225"/>
      <c r="AK7" s="225"/>
      <c r="AL7" s="225"/>
      <c r="AM7" s="232"/>
    </row>
    <row r="8" ht="19.5" customHeight="1">
      <c r="A8" s="233"/>
      <c r="B8" s="234" t="s">
        <v>59</v>
      </c>
      <c r="H8" s="235"/>
      <c r="I8" s="235"/>
      <c r="J8" s="235"/>
      <c r="K8" s="235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3"/>
    </row>
    <row r="9" ht="1.5" customHeight="1">
      <c r="A9" s="223"/>
      <c r="B9" s="237"/>
      <c r="C9" s="238"/>
      <c r="D9" s="238"/>
      <c r="E9" s="238"/>
      <c r="F9" s="238"/>
      <c r="G9" s="237"/>
      <c r="H9" s="238"/>
      <c r="I9" s="238"/>
      <c r="J9" s="238"/>
      <c r="K9" s="238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23"/>
    </row>
    <row r="10" ht="15.75" customHeight="1">
      <c r="A10" s="239"/>
      <c r="B10" s="240"/>
      <c r="C10" s="240"/>
      <c r="D10" s="240"/>
      <c r="E10" s="240"/>
      <c r="F10" s="240"/>
      <c r="G10" s="240"/>
      <c r="H10" s="239"/>
      <c r="I10" s="239"/>
      <c r="J10" s="239"/>
      <c r="K10" s="239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39"/>
    </row>
    <row r="11" ht="19.5" customHeight="1">
      <c r="A11" s="241"/>
      <c r="B11" s="242"/>
      <c r="C11" s="243" t="s">
        <v>60</v>
      </c>
      <c r="D11" s="244"/>
      <c r="E11" s="244"/>
      <c r="F11" s="245"/>
      <c r="G11" s="246" t="s">
        <v>61</v>
      </c>
      <c r="H11" s="244"/>
      <c r="I11" s="244"/>
      <c r="J11" s="245"/>
      <c r="K11" s="246" t="s">
        <v>62</v>
      </c>
      <c r="L11" s="244"/>
      <c r="M11" s="244"/>
      <c r="N11" s="245"/>
      <c r="O11" s="243" t="s">
        <v>63</v>
      </c>
      <c r="P11" s="244"/>
      <c r="Q11" s="244"/>
      <c r="R11" s="245"/>
      <c r="S11" s="243" t="s">
        <v>64</v>
      </c>
      <c r="T11" s="244"/>
      <c r="U11" s="244"/>
      <c r="V11" s="245"/>
      <c r="W11" s="243" t="s">
        <v>65</v>
      </c>
      <c r="X11" s="244"/>
      <c r="Y11" s="244"/>
      <c r="Z11" s="245"/>
      <c r="AA11" s="243" t="s">
        <v>66</v>
      </c>
      <c r="AB11" s="244"/>
      <c r="AC11" s="244"/>
      <c r="AD11" s="245"/>
      <c r="AE11" s="243" t="s">
        <v>67</v>
      </c>
      <c r="AF11" s="244"/>
      <c r="AG11" s="244"/>
      <c r="AH11" s="245"/>
      <c r="AI11" s="247" t="s">
        <v>68</v>
      </c>
      <c r="AJ11" s="244"/>
      <c r="AK11" s="244"/>
      <c r="AL11" s="245"/>
      <c r="AM11" s="241"/>
    </row>
    <row r="12">
      <c r="A12" s="248"/>
      <c r="B12" s="249" t="s">
        <v>69</v>
      </c>
      <c r="C12" s="250" t="s">
        <v>70</v>
      </c>
      <c r="D12" s="251" t="s">
        <v>71</v>
      </c>
      <c r="E12" s="251" t="s">
        <v>72</v>
      </c>
      <c r="F12" s="252" t="s">
        <v>73</v>
      </c>
      <c r="G12" s="250" t="s">
        <v>70</v>
      </c>
      <c r="H12" s="251" t="s">
        <v>71</v>
      </c>
      <c r="I12" s="251" t="s">
        <v>72</v>
      </c>
      <c r="J12" s="252" t="s">
        <v>73</v>
      </c>
      <c r="K12" s="250" t="s">
        <v>70</v>
      </c>
      <c r="L12" s="251" t="s">
        <v>71</v>
      </c>
      <c r="M12" s="251" t="s">
        <v>72</v>
      </c>
      <c r="N12" s="252" t="s">
        <v>73</v>
      </c>
      <c r="O12" s="250" t="s">
        <v>70</v>
      </c>
      <c r="P12" s="251" t="s">
        <v>71</v>
      </c>
      <c r="Q12" s="251" t="s">
        <v>72</v>
      </c>
      <c r="R12" s="252" t="s">
        <v>73</v>
      </c>
      <c r="S12" s="250" t="s">
        <v>70</v>
      </c>
      <c r="T12" s="251" t="s">
        <v>71</v>
      </c>
      <c r="U12" s="251" t="s">
        <v>72</v>
      </c>
      <c r="V12" s="252" t="s">
        <v>73</v>
      </c>
      <c r="W12" s="250" t="s">
        <v>70</v>
      </c>
      <c r="X12" s="251" t="s">
        <v>71</v>
      </c>
      <c r="Y12" s="251" t="s">
        <v>72</v>
      </c>
      <c r="Z12" s="252" t="s">
        <v>73</v>
      </c>
      <c r="AA12" s="250" t="s">
        <v>70</v>
      </c>
      <c r="AB12" s="251" t="s">
        <v>71</v>
      </c>
      <c r="AC12" s="251" t="s">
        <v>72</v>
      </c>
      <c r="AD12" s="252" t="s">
        <v>73</v>
      </c>
      <c r="AE12" s="250" t="s">
        <v>70</v>
      </c>
      <c r="AF12" s="251" t="s">
        <v>71</v>
      </c>
      <c r="AG12" s="251" t="s">
        <v>72</v>
      </c>
      <c r="AH12" s="252" t="s">
        <v>73</v>
      </c>
      <c r="AI12" s="250" t="s">
        <v>70</v>
      </c>
      <c r="AJ12" s="251" t="s">
        <v>71</v>
      </c>
      <c r="AK12" s="251" t="s">
        <v>72</v>
      </c>
      <c r="AL12" s="252" t="s">
        <v>73</v>
      </c>
      <c r="AM12" s="248"/>
    </row>
    <row r="13" ht="21.0" customHeight="1">
      <c r="A13" s="228"/>
      <c r="B13" s="253" t="s">
        <v>74</v>
      </c>
      <c r="C13" s="254">
        <v>0.0</v>
      </c>
      <c r="D13" s="254">
        <v>0.0</v>
      </c>
      <c r="E13" s="254">
        <v>0.0</v>
      </c>
      <c r="F13" s="255">
        <v>0.0</v>
      </c>
      <c r="G13" s="256">
        <v>0.0</v>
      </c>
      <c r="H13" s="254">
        <v>0.0</v>
      </c>
      <c r="I13" s="254">
        <v>0.0</v>
      </c>
      <c r="J13" s="255">
        <v>0.0</v>
      </c>
      <c r="K13" s="256">
        <v>0.0</v>
      </c>
      <c r="L13" s="254">
        <v>0.0</v>
      </c>
      <c r="M13" s="254">
        <v>0.0</v>
      </c>
      <c r="N13" s="255">
        <v>0.0</v>
      </c>
      <c r="O13" s="256">
        <v>0.0</v>
      </c>
      <c r="P13" s="254">
        <v>0.0</v>
      </c>
      <c r="Q13" s="254">
        <v>0.0</v>
      </c>
      <c r="R13" s="255">
        <v>0.0</v>
      </c>
      <c r="S13" s="256">
        <v>0.0</v>
      </c>
      <c r="T13" s="254">
        <v>0.0</v>
      </c>
      <c r="U13" s="254">
        <v>0.0</v>
      </c>
      <c r="V13" s="255">
        <v>0.0</v>
      </c>
      <c r="W13" s="256">
        <v>0.0</v>
      </c>
      <c r="X13" s="254">
        <v>0.0</v>
      </c>
      <c r="Y13" s="254">
        <v>0.0</v>
      </c>
      <c r="Z13" s="255">
        <v>0.0</v>
      </c>
      <c r="AA13" s="256">
        <v>1.0</v>
      </c>
      <c r="AB13" s="254">
        <v>0.0</v>
      </c>
      <c r="AC13" s="254">
        <v>0.0</v>
      </c>
      <c r="AD13" s="255">
        <v>0.0</v>
      </c>
      <c r="AE13" s="256">
        <v>0.0</v>
      </c>
      <c r="AF13" s="254">
        <v>0.0</v>
      </c>
      <c r="AG13" s="254">
        <v>0.0</v>
      </c>
      <c r="AH13" s="254">
        <v>0.0</v>
      </c>
      <c r="AI13" s="257">
        <f t="shared" ref="AI13:AL13" si="1">C13+G13+K13+O13+S13+W13+AA13+AE13</f>
        <v>1</v>
      </c>
      <c r="AJ13" s="258">
        <f t="shared" si="1"/>
        <v>0</v>
      </c>
      <c r="AK13" s="258">
        <f t="shared" si="1"/>
        <v>0</v>
      </c>
      <c r="AL13" s="259">
        <f t="shared" si="1"/>
        <v>0</v>
      </c>
      <c r="AM13" s="228"/>
    </row>
    <row r="14" ht="21.0" customHeight="1">
      <c r="A14" s="230"/>
      <c r="B14" s="260" t="s">
        <v>75</v>
      </c>
      <c r="C14" s="258">
        <v>1.0</v>
      </c>
      <c r="D14" s="258">
        <v>0.0</v>
      </c>
      <c r="E14" s="258">
        <v>0.0</v>
      </c>
      <c r="F14" s="259">
        <v>0.0</v>
      </c>
      <c r="G14" s="257">
        <v>1.0</v>
      </c>
      <c r="H14" s="258">
        <v>0.0</v>
      </c>
      <c r="I14" s="258">
        <v>0.0</v>
      </c>
      <c r="J14" s="259">
        <v>0.0</v>
      </c>
      <c r="K14" s="257">
        <v>1.0</v>
      </c>
      <c r="L14" s="258">
        <v>0.0</v>
      </c>
      <c r="M14" s="258">
        <v>0.0</v>
      </c>
      <c r="N14" s="259">
        <v>0.0</v>
      </c>
      <c r="O14" s="257">
        <v>0.0</v>
      </c>
      <c r="P14" s="258">
        <v>0.0</v>
      </c>
      <c r="Q14" s="258">
        <v>0.0</v>
      </c>
      <c r="R14" s="259">
        <v>0.0</v>
      </c>
      <c r="S14" s="257">
        <v>1.0</v>
      </c>
      <c r="T14" s="258">
        <v>0.0</v>
      </c>
      <c r="U14" s="258">
        <v>0.0</v>
      </c>
      <c r="V14" s="259">
        <v>0.0</v>
      </c>
      <c r="W14" s="257">
        <v>0.0</v>
      </c>
      <c r="X14" s="258">
        <v>0.0</v>
      </c>
      <c r="Y14" s="258">
        <v>0.0</v>
      </c>
      <c r="Z14" s="259">
        <v>0.0</v>
      </c>
      <c r="AA14" s="257">
        <v>1.0</v>
      </c>
      <c r="AB14" s="258">
        <v>0.0</v>
      </c>
      <c r="AC14" s="258">
        <v>0.0</v>
      </c>
      <c r="AD14" s="259">
        <v>0.0</v>
      </c>
      <c r="AE14" s="257">
        <v>0.0</v>
      </c>
      <c r="AF14" s="258">
        <v>0.0</v>
      </c>
      <c r="AG14" s="258">
        <v>0.0</v>
      </c>
      <c r="AH14" s="258">
        <v>0.0</v>
      </c>
      <c r="AI14" s="257">
        <f t="shared" ref="AI14:AL14" si="2">C14+G14+K14+O14+S14+W14+AA14+AE14</f>
        <v>5</v>
      </c>
      <c r="AJ14" s="258">
        <f t="shared" si="2"/>
        <v>0</v>
      </c>
      <c r="AK14" s="258">
        <f t="shared" si="2"/>
        <v>0</v>
      </c>
      <c r="AL14" s="259">
        <f t="shared" si="2"/>
        <v>0</v>
      </c>
      <c r="AM14" s="230"/>
    </row>
    <row r="15" ht="21.0" customHeight="1">
      <c r="A15" s="230"/>
      <c r="B15" s="260" t="s">
        <v>76</v>
      </c>
      <c r="C15" s="258">
        <v>1.0</v>
      </c>
      <c r="D15" s="258">
        <v>1.0</v>
      </c>
      <c r="E15" s="258">
        <v>0.0</v>
      </c>
      <c r="F15" s="259">
        <v>0.0</v>
      </c>
      <c r="G15" s="257">
        <v>1.0</v>
      </c>
      <c r="H15" s="258">
        <v>0.0</v>
      </c>
      <c r="I15" s="258">
        <v>0.0</v>
      </c>
      <c r="J15" s="259">
        <v>0.0</v>
      </c>
      <c r="K15" s="257">
        <v>1.0</v>
      </c>
      <c r="L15" s="258">
        <v>1.0</v>
      </c>
      <c r="M15" s="258">
        <v>0.0</v>
      </c>
      <c r="N15" s="259">
        <v>0.0</v>
      </c>
      <c r="O15" s="257">
        <v>0.0</v>
      </c>
      <c r="P15" s="258">
        <v>1.0</v>
      </c>
      <c r="Q15" s="258">
        <v>0.0</v>
      </c>
      <c r="R15" s="259">
        <v>0.0</v>
      </c>
      <c r="S15" s="257">
        <v>1.0</v>
      </c>
      <c r="T15" s="258">
        <v>1.0</v>
      </c>
      <c r="U15" s="258">
        <v>0.0</v>
      </c>
      <c r="V15" s="259">
        <v>0.0</v>
      </c>
      <c r="W15" s="257">
        <v>0.0</v>
      </c>
      <c r="X15" s="258">
        <v>1.0</v>
      </c>
      <c r="Y15" s="258">
        <v>0.0</v>
      </c>
      <c r="Z15" s="259">
        <v>0.0</v>
      </c>
      <c r="AA15" s="257">
        <v>1.0</v>
      </c>
      <c r="AB15" s="258">
        <v>0.0</v>
      </c>
      <c r="AC15" s="258">
        <v>0.0</v>
      </c>
      <c r="AD15" s="259">
        <v>0.0</v>
      </c>
      <c r="AE15" s="257">
        <v>0.0</v>
      </c>
      <c r="AF15" s="258">
        <v>1.0</v>
      </c>
      <c r="AG15" s="258">
        <v>0.0</v>
      </c>
      <c r="AH15" s="258">
        <v>0.0</v>
      </c>
      <c r="AI15" s="257">
        <f t="shared" ref="AI15:AL15" si="3">C15+G15+K15+O15+S15+W15+AA15+AE15</f>
        <v>5</v>
      </c>
      <c r="AJ15" s="258">
        <f t="shared" si="3"/>
        <v>6</v>
      </c>
      <c r="AK15" s="258">
        <f t="shared" si="3"/>
        <v>0</v>
      </c>
      <c r="AL15" s="259">
        <f t="shared" si="3"/>
        <v>0</v>
      </c>
      <c r="AM15" s="230"/>
    </row>
    <row r="16" ht="21.0" customHeight="1">
      <c r="A16" s="230"/>
      <c r="B16" s="260" t="s">
        <v>77</v>
      </c>
      <c r="C16" s="258">
        <v>1.0</v>
      </c>
      <c r="D16" s="258">
        <v>0.0</v>
      </c>
      <c r="E16" s="258">
        <v>0.0</v>
      </c>
      <c r="F16" s="259">
        <v>0.0</v>
      </c>
      <c r="G16" s="257">
        <v>1.0</v>
      </c>
      <c r="H16" s="258">
        <v>1.0</v>
      </c>
      <c r="I16" s="258">
        <v>0.0</v>
      </c>
      <c r="J16" s="259">
        <v>0.0</v>
      </c>
      <c r="K16" s="257">
        <v>1.0</v>
      </c>
      <c r="L16" s="258">
        <v>2.0</v>
      </c>
      <c r="M16" s="258">
        <v>0.0</v>
      </c>
      <c r="N16" s="259">
        <v>0.0</v>
      </c>
      <c r="O16" s="257">
        <v>0.0</v>
      </c>
      <c r="P16" s="258">
        <v>0.0</v>
      </c>
      <c r="Q16" s="258">
        <v>0.0</v>
      </c>
      <c r="R16" s="259">
        <v>0.0</v>
      </c>
      <c r="S16" s="257">
        <v>1.0</v>
      </c>
      <c r="T16" s="258">
        <v>2.0</v>
      </c>
      <c r="U16" s="258">
        <v>0.0</v>
      </c>
      <c r="V16" s="259">
        <v>0.0</v>
      </c>
      <c r="W16" s="257">
        <v>0.0</v>
      </c>
      <c r="X16" s="258">
        <v>0.0</v>
      </c>
      <c r="Y16" s="258">
        <v>0.0</v>
      </c>
      <c r="Z16" s="259">
        <v>0.0</v>
      </c>
      <c r="AA16" s="257">
        <v>1.0</v>
      </c>
      <c r="AB16" s="258">
        <v>0.0</v>
      </c>
      <c r="AC16" s="258">
        <v>0.0</v>
      </c>
      <c r="AD16" s="259">
        <v>0.0</v>
      </c>
      <c r="AE16" s="257">
        <v>0.0</v>
      </c>
      <c r="AF16" s="258">
        <v>0.0</v>
      </c>
      <c r="AG16" s="258">
        <v>0.0</v>
      </c>
      <c r="AH16" s="258">
        <v>0.0</v>
      </c>
      <c r="AI16" s="257">
        <f t="shared" ref="AI16:AL16" si="4">C16+G16+K16+O16+S16+W16+AA16+AE16</f>
        <v>5</v>
      </c>
      <c r="AJ16" s="258">
        <f t="shared" si="4"/>
        <v>5</v>
      </c>
      <c r="AK16" s="258">
        <f t="shared" si="4"/>
        <v>0</v>
      </c>
      <c r="AL16" s="259">
        <f t="shared" si="4"/>
        <v>0</v>
      </c>
      <c r="AM16" s="230"/>
    </row>
    <row r="17" ht="21.75" customHeight="1">
      <c r="A17" s="261"/>
      <c r="B17" s="260" t="s">
        <v>78</v>
      </c>
      <c r="C17" s="258">
        <v>1.0</v>
      </c>
      <c r="D17" s="258">
        <v>0.0</v>
      </c>
      <c r="E17" s="258">
        <v>0.0</v>
      </c>
      <c r="F17" s="259">
        <v>0.0</v>
      </c>
      <c r="G17" s="257">
        <v>1.0</v>
      </c>
      <c r="H17" s="258">
        <v>0.0</v>
      </c>
      <c r="I17" s="258">
        <v>0.0</v>
      </c>
      <c r="J17" s="259">
        <v>0.0</v>
      </c>
      <c r="K17" s="257">
        <v>1.0</v>
      </c>
      <c r="L17" s="258">
        <v>0.0</v>
      </c>
      <c r="M17" s="258">
        <v>0.0</v>
      </c>
      <c r="N17" s="259">
        <v>0.0</v>
      </c>
      <c r="O17" s="257">
        <v>0.0</v>
      </c>
      <c r="P17" s="258">
        <v>0.0</v>
      </c>
      <c r="Q17" s="258">
        <v>0.0</v>
      </c>
      <c r="R17" s="259">
        <v>0.0</v>
      </c>
      <c r="S17" s="257">
        <v>1.0</v>
      </c>
      <c r="T17" s="258">
        <v>0.0</v>
      </c>
      <c r="U17" s="258">
        <v>0.0</v>
      </c>
      <c r="V17" s="259">
        <v>0.0</v>
      </c>
      <c r="W17" s="257">
        <v>0.0</v>
      </c>
      <c r="X17" s="258">
        <v>0.0</v>
      </c>
      <c r="Y17" s="258">
        <v>0.0</v>
      </c>
      <c r="Z17" s="259">
        <v>0.0</v>
      </c>
      <c r="AA17" s="257">
        <v>1.0</v>
      </c>
      <c r="AB17" s="258">
        <v>0.0</v>
      </c>
      <c r="AC17" s="258">
        <v>0.0</v>
      </c>
      <c r="AD17" s="259">
        <v>0.0</v>
      </c>
      <c r="AE17" s="257">
        <v>0.0</v>
      </c>
      <c r="AF17" s="258">
        <v>0.0</v>
      </c>
      <c r="AG17" s="258">
        <v>0.0</v>
      </c>
      <c r="AH17" s="258">
        <v>0.0</v>
      </c>
      <c r="AI17" s="257">
        <f t="shared" ref="AI17:AL17" si="5">C17+G17+K17+O17+S17+W17+AA17+AE17</f>
        <v>5</v>
      </c>
      <c r="AJ17" s="258">
        <f t="shared" si="5"/>
        <v>0</v>
      </c>
      <c r="AK17" s="258">
        <f t="shared" si="5"/>
        <v>0</v>
      </c>
      <c r="AL17" s="259">
        <f t="shared" si="5"/>
        <v>0</v>
      </c>
      <c r="AM17" s="261"/>
    </row>
    <row r="18" ht="21.75" customHeight="1">
      <c r="A18" s="261"/>
      <c r="B18" s="260" t="s">
        <v>79</v>
      </c>
      <c r="C18" s="258">
        <v>1.0</v>
      </c>
      <c r="D18" s="258">
        <v>0.0</v>
      </c>
      <c r="E18" s="258">
        <v>0.0</v>
      </c>
      <c r="F18" s="259">
        <v>0.0</v>
      </c>
      <c r="G18" s="257">
        <v>1.0</v>
      </c>
      <c r="H18" s="258">
        <v>0.0</v>
      </c>
      <c r="I18" s="258">
        <v>0.0</v>
      </c>
      <c r="J18" s="259">
        <v>0.0</v>
      </c>
      <c r="K18" s="257">
        <v>1.0</v>
      </c>
      <c r="L18" s="258">
        <v>0.0</v>
      </c>
      <c r="M18" s="258">
        <v>0.0</v>
      </c>
      <c r="N18" s="259">
        <v>0.0</v>
      </c>
      <c r="O18" s="257">
        <v>0.0</v>
      </c>
      <c r="P18" s="258">
        <v>0.0</v>
      </c>
      <c r="Q18" s="258">
        <v>0.0</v>
      </c>
      <c r="R18" s="259">
        <v>0.0</v>
      </c>
      <c r="S18" s="257">
        <v>1.0</v>
      </c>
      <c r="T18" s="258">
        <v>0.0</v>
      </c>
      <c r="U18" s="258">
        <v>0.0</v>
      </c>
      <c r="V18" s="259">
        <v>0.0</v>
      </c>
      <c r="W18" s="257">
        <v>0.0</v>
      </c>
      <c r="X18" s="258">
        <v>0.0</v>
      </c>
      <c r="Y18" s="258">
        <v>0.0</v>
      </c>
      <c r="Z18" s="259">
        <v>0.0</v>
      </c>
      <c r="AA18" s="257">
        <v>1.0</v>
      </c>
      <c r="AB18" s="258">
        <v>0.0</v>
      </c>
      <c r="AC18" s="258">
        <v>0.0</v>
      </c>
      <c r="AD18" s="259">
        <v>0.0</v>
      </c>
      <c r="AE18" s="257">
        <v>0.0</v>
      </c>
      <c r="AF18" s="258">
        <v>0.0</v>
      </c>
      <c r="AG18" s="258">
        <v>0.0</v>
      </c>
      <c r="AH18" s="258">
        <v>0.0</v>
      </c>
      <c r="AI18" s="257">
        <f t="shared" ref="AI18:AL18" si="6">C18+G18+K18+O18+S18+W18+AA18+AE18</f>
        <v>5</v>
      </c>
      <c r="AJ18" s="258">
        <f t="shared" si="6"/>
        <v>0</v>
      </c>
      <c r="AK18" s="258">
        <f t="shared" si="6"/>
        <v>0</v>
      </c>
      <c r="AL18" s="259">
        <f t="shared" si="6"/>
        <v>0</v>
      </c>
      <c r="AM18" s="261"/>
    </row>
    <row r="19" ht="21.75" customHeight="1">
      <c r="A19" s="261"/>
      <c r="B19" s="260" t="s">
        <v>80</v>
      </c>
      <c r="C19" s="258">
        <v>1.0</v>
      </c>
      <c r="D19" s="258">
        <v>0.0</v>
      </c>
      <c r="E19" s="258">
        <v>0.0</v>
      </c>
      <c r="F19" s="259">
        <v>0.0</v>
      </c>
      <c r="G19" s="257">
        <v>1.0</v>
      </c>
      <c r="H19" s="258">
        <v>0.0</v>
      </c>
      <c r="I19" s="258">
        <v>0.0</v>
      </c>
      <c r="J19" s="259">
        <v>0.0</v>
      </c>
      <c r="K19" s="258">
        <v>1.0</v>
      </c>
      <c r="L19" s="258">
        <v>0.0</v>
      </c>
      <c r="M19" s="258">
        <v>0.0</v>
      </c>
      <c r="N19" s="259">
        <v>0.0</v>
      </c>
      <c r="O19" s="258">
        <v>0.0</v>
      </c>
      <c r="P19" s="258">
        <v>0.0</v>
      </c>
      <c r="Q19" s="258">
        <v>0.0</v>
      </c>
      <c r="R19" s="259">
        <v>0.0</v>
      </c>
      <c r="S19" s="258">
        <v>1.0</v>
      </c>
      <c r="T19" s="258">
        <v>0.0</v>
      </c>
      <c r="U19" s="258">
        <v>0.0</v>
      </c>
      <c r="V19" s="259">
        <v>0.0</v>
      </c>
      <c r="W19" s="258">
        <v>0.0</v>
      </c>
      <c r="X19" s="258">
        <v>0.0</v>
      </c>
      <c r="Y19" s="258">
        <v>0.0</v>
      </c>
      <c r="Z19" s="259">
        <v>0.0</v>
      </c>
      <c r="AA19" s="258">
        <v>1.0</v>
      </c>
      <c r="AB19" s="258">
        <v>0.0</v>
      </c>
      <c r="AC19" s="258">
        <v>0.0</v>
      </c>
      <c r="AD19" s="259">
        <v>0.0</v>
      </c>
      <c r="AE19" s="258">
        <v>0.0</v>
      </c>
      <c r="AF19" s="258">
        <v>0.0</v>
      </c>
      <c r="AG19" s="258">
        <v>0.0</v>
      </c>
      <c r="AH19" s="258">
        <v>0.0</v>
      </c>
      <c r="AI19" s="257">
        <f t="shared" ref="AI19:AL19" si="7">C19+G19+K19+O19+S19+W19+AA19+AE19</f>
        <v>5</v>
      </c>
      <c r="AJ19" s="258">
        <f t="shared" si="7"/>
        <v>0</v>
      </c>
      <c r="AK19" s="258">
        <f t="shared" si="7"/>
        <v>0</v>
      </c>
      <c r="AL19" s="259">
        <f t="shared" si="7"/>
        <v>0</v>
      </c>
      <c r="AM19" s="261"/>
    </row>
    <row r="20" ht="21.75" customHeight="1">
      <c r="A20" s="261"/>
      <c r="B20" s="262" t="s">
        <v>81</v>
      </c>
      <c r="C20" s="263">
        <v>1.0</v>
      </c>
      <c r="D20" s="258">
        <v>0.0</v>
      </c>
      <c r="E20" s="258">
        <v>0.0</v>
      </c>
      <c r="F20" s="258">
        <v>0.0</v>
      </c>
      <c r="G20" s="257">
        <v>1.0</v>
      </c>
      <c r="H20" s="258">
        <v>0.0</v>
      </c>
      <c r="I20" s="258">
        <v>0.0</v>
      </c>
      <c r="J20" s="259">
        <v>0.0</v>
      </c>
      <c r="K20" s="257">
        <v>1.0</v>
      </c>
      <c r="L20" s="258">
        <v>0.0</v>
      </c>
      <c r="M20" s="258">
        <v>0.0</v>
      </c>
      <c r="N20" s="259">
        <v>0.0</v>
      </c>
      <c r="O20" s="257"/>
      <c r="P20" s="258"/>
      <c r="Q20" s="258"/>
      <c r="R20" s="259"/>
      <c r="S20" s="257">
        <v>1.0</v>
      </c>
      <c r="T20" s="258">
        <v>0.0</v>
      </c>
      <c r="U20" s="258">
        <v>0.0</v>
      </c>
      <c r="V20" s="259">
        <v>0.0</v>
      </c>
      <c r="W20" s="257"/>
      <c r="X20" s="258"/>
      <c r="Y20" s="258"/>
      <c r="Z20" s="259"/>
      <c r="AA20" s="257">
        <v>1.0</v>
      </c>
      <c r="AB20" s="258"/>
      <c r="AC20" s="258"/>
      <c r="AD20" s="259"/>
      <c r="AE20" s="257"/>
      <c r="AF20" s="258"/>
      <c r="AG20" s="258"/>
      <c r="AH20" s="258"/>
      <c r="AI20" s="257">
        <f t="shared" ref="AI20:AL20" si="8">C20+G20+K20+O20+S20+W20+AA20+AE20</f>
        <v>5</v>
      </c>
      <c r="AJ20" s="258">
        <f t="shared" si="8"/>
        <v>0</v>
      </c>
      <c r="AK20" s="258">
        <f t="shared" si="8"/>
        <v>0</v>
      </c>
      <c r="AL20" s="259">
        <f t="shared" si="8"/>
        <v>0</v>
      </c>
      <c r="AM20" s="261"/>
    </row>
    <row r="21" ht="21.75" customHeight="1">
      <c r="A21" s="261"/>
      <c r="B21" s="262" t="s">
        <v>82</v>
      </c>
      <c r="C21" s="263">
        <v>1.0</v>
      </c>
      <c r="D21" s="258">
        <v>0.0</v>
      </c>
      <c r="E21" s="258">
        <v>0.0</v>
      </c>
      <c r="F21" s="259">
        <v>0.0</v>
      </c>
      <c r="G21" s="257">
        <v>1.0</v>
      </c>
      <c r="H21" s="258">
        <v>1.0</v>
      </c>
      <c r="I21" s="258">
        <v>0.0</v>
      </c>
      <c r="J21" s="259">
        <v>1.0</v>
      </c>
      <c r="K21" s="257">
        <v>1.0</v>
      </c>
      <c r="L21" s="258">
        <v>0.0</v>
      </c>
      <c r="M21" s="258">
        <v>0.0</v>
      </c>
      <c r="N21" s="259">
        <v>1.0</v>
      </c>
      <c r="O21" s="257"/>
      <c r="P21" s="258"/>
      <c r="Q21" s="258"/>
      <c r="R21" s="259"/>
      <c r="S21" s="257">
        <v>1.0</v>
      </c>
      <c r="T21" s="258">
        <v>0.0</v>
      </c>
      <c r="U21" s="258">
        <v>0.0</v>
      </c>
      <c r="V21" s="259">
        <v>0.0</v>
      </c>
      <c r="W21" s="257"/>
      <c r="X21" s="258"/>
      <c r="Y21" s="258"/>
      <c r="Z21" s="259"/>
      <c r="AA21" s="257">
        <v>1.0</v>
      </c>
      <c r="AB21" s="258"/>
      <c r="AC21" s="258"/>
      <c r="AD21" s="259"/>
      <c r="AE21" s="257"/>
      <c r="AF21" s="258"/>
      <c r="AG21" s="258"/>
      <c r="AH21" s="258"/>
      <c r="AI21" s="257">
        <f t="shared" ref="AI21:AL21" si="9">C21+G21+K21+O21+S21+W21+AA21+AE21</f>
        <v>5</v>
      </c>
      <c r="AJ21" s="258">
        <f t="shared" si="9"/>
        <v>1</v>
      </c>
      <c r="AK21" s="258">
        <f t="shared" si="9"/>
        <v>0</v>
      </c>
      <c r="AL21" s="259">
        <f t="shared" si="9"/>
        <v>2</v>
      </c>
      <c r="AM21" s="261"/>
    </row>
    <row r="22" ht="21.75" customHeight="1">
      <c r="A22" s="261"/>
      <c r="B22" s="262" t="s">
        <v>83</v>
      </c>
      <c r="C22" s="263">
        <v>1.0</v>
      </c>
      <c r="D22" s="258">
        <v>0.0</v>
      </c>
      <c r="E22" s="258">
        <v>0.0</v>
      </c>
      <c r="F22" s="258">
        <v>0.0</v>
      </c>
      <c r="G22" s="257">
        <v>1.0</v>
      </c>
      <c r="H22" s="258">
        <v>0.0</v>
      </c>
      <c r="I22" s="258">
        <v>0.0</v>
      </c>
      <c r="J22" s="259">
        <v>1.0</v>
      </c>
      <c r="K22" s="257">
        <v>1.0</v>
      </c>
      <c r="L22" s="258">
        <v>0.0</v>
      </c>
      <c r="M22" s="258">
        <v>0.0</v>
      </c>
      <c r="N22" s="259">
        <v>1.0</v>
      </c>
      <c r="O22" s="257"/>
      <c r="P22" s="258"/>
      <c r="Q22" s="258"/>
      <c r="R22" s="259"/>
      <c r="S22" s="257">
        <v>1.0</v>
      </c>
      <c r="T22" s="258">
        <v>0.0</v>
      </c>
      <c r="U22" s="258">
        <v>0.0</v>
      </c>
      <c r="V22" s="259">
        <v>0.0</v>
      </c>
      <c r="W22" s="257"/>
      <c r="X22" s="258"/>
      <c r="Y22" s="258"/>
      <c r="Z22" s="259"/>
      <c r="AA22" s="257">
        <v>1.0</v>
      </c>
      <c r="AB22" s="258"/>
      <c r="AC22" s="258"/>
      <c r="AD22" s="259"/>
      <c r="AE22" s="257"/>
      <c r="AF22" s="258"/>
      <c r="AG22" s="258"/>
      <c r="AH22" s="258"/>
      <c r="AI22" s="257">
        <f t="shared" ref="AI22:AL22" si="10">C22+G22+K22+O22+S22+W22+AA22+AE22</f>
        <v>5</v>
      </c>
      <c r="AJ22" s="258">
        <f t="shared" si="10"/>
        <v>0</v>
      </c>
      <c r="AK22" s="258">
        <f t="shared" si="10"/>
        <v>0</v>
      </c>
      <c r="AL22" s="259">
        <f t="shared" si="10"/>
        <v>2</v>
      </c>
      <c r="AM22" s="261"/>
    </row>
    <row r="23" ht="21.75" customHeight="1">
      <c r="A23" s="261"/>
      <c r="B23" s="262" t="s">
        <v>84</v>
      </c>
      <c r="C23" s="263">
        <v>0.0</v>
      </c>
      <c r="D23" s="258">
        <v>0.0</v>
      </c>
      <c r="E23" s="258">
        <v>0.0</v>
      </c>
      <c r="F23" s="259">
        <v>0.0</v>
      </c>
      <c r="G23" s="257">
        <v>0.0</v>
      </c>
      <c r="H23" s="258">
        <v>0.0</v>
      </c>
      <c r="I23" s="258">
        <v>0.0</v>
      </c>
      <c r="J23" s="259">
        <v>0.0</v>
      </c>
      <c r="K23" s="257">
        <v>0.0</v>
      </c>
      <c r="L23" s="258">
        <v>0.0</v>
      </c>
      <c r="M23" s="258">
        <v>0.0</v>
      </c>
      <c r="N23" s="259">
        <v>0.0</v>
      </c>
      <c r="O23" s="257"/>
      <c r="P23" s="258"/>
      <c r="Q23" s="258"/>
      <c r="R23" s="259"/>
      <c r="S23" s="257">
        <v>0.0</v>
      </c>
      <c r="T23" s="258">
        <v>0.0</v>
      </c>
      <c r="U23" s="258">
        <v>0.0</v>
      </c>
      <c r="V23" s="259">
        <v>0.0</v>
      </c>
      <c r="W23" s="257"/>
      <c r="X23" s="258"/>
      <c r="Y23" s="258"/>
      <c r="Z23" s="259"/>
      <c r="AA23" s="257"/>
      <c r="AB23" s="258"/>
      <c r="AC23" s="258"/>
      <c r="AD23" s="259"/>
      <c r="AE23" s="257"/>
      <c r="AF23" s="258"/>
      <c r="AG23" s="258"/>
      <c r="AH23" s="258"/>
      <c r="AI23" s="257">
        <f t="shared" ref="AI23:AL23" si="11">C23+G23+K23+O23+S23+W23+AA23+AE23</f>
        <v>0</v>
      </c>
      <c r="AJ23" s="258">
        <f t="shared" si="11"/>
        <v>0</v>
      </c>
      <c r="AK23" s="258">
        <f t="shared" si="11"/>
        <v>0</v>
      </c>
      <c r="AL23" s="259">
        <f t="shared" si="11"/>
        <v>0</v>
      </c>
      <c r="AM23" s="261"/>
    </row>
    <row r="24" ht="21.75" customHeight="1">
      <c r="A24" s="261"/>
      <c r="B24" s="262" t="s">
        <v>85</v>
      </c>
      <c r="C24" s="263">
        <v>0.0</v>
      </c>
      <c r="D24" s="258">
        <v>0.0</v>
      </c>
      <c r="E24" s="258">
        <v>0.0</v>
      </c>
      <c r="F24" s="258">
        <v>0.0</v>
      </c>
      <c r="G24" s="257">
        <v>0.0</v>
      </c>
      <c r="H24" s="258">
        <v>0.0</v>
      </c>
      <c r="I24" s="258">
        <v>0.0</v>
      </c>
      <c r="J24" s="259">
        <v>0.0</v>
      </c>
      <c r="K24" s="257">
        <v>0.0</v>
      </c>
      <c r="L24" s="258">
        <v>0.0</v>
      </c>
      <c r="M24" s="258">
        <v>0.0</v>
      </c>
      <c r="N24" s="259">
        <v>0.0</v>
      </c>
      <c r="O24" s="257"/>
      <c r="P24" s="258"/>
      <c r="Q24" s="258"/>
      <c r="R24" s="259"/>
      <c r="S24" s="257">
        <v>0.0</v>
      </c>
      <c r="T24" s="258">
        <v>0.0</v>
      </c>
      <c r="U24" s="258">
        <v>0.0</v>
      </c>
      <c r="V24" s="259">
        <v>0.0</v>
      </c>
      <c r="W24" s="257"/>
      <c r="X24" s="258"/>
      <c r="Y24" s="258"/>
      <c r="Z24" s="259"/>
      <c r="AA24" s="257"/>
      <c r="AB24" s="258"/>
      <c r="AC24" s="258"/>
      <c r="AD24" s="259"/>
      <c r="AE24" s="257"/>
      <c r="AF24" s="258"/>
      <c r="AG24" s="258"/>
      <c r="AH24" s="258"/>
      <c r="AI24" s="257">
        <f t="shared" ref="AI24:AL24" si="12">C24+G24+K24+O24+S24+W24+AA24+AE24</f>
        <v>0</v>
      </c>
      <c r="AJ24" s="258">
        <f t="shared" si="12"/>
        <v>0</v>
      </c>
      <c r="AK24" s="258">
        <f t="shared" si="12"/>
        <v>0</v>
      </c>
      <c r="AL24" s="259">
        <f t="shared" si="12"/>
        <v>0</v>
      </c>
      <c r="AM24" s="261"/>
    </row>
    <row r="25" ht="21.75" customHeight="1">
      <c r="A25" s="261"/>
      <c r="B25" s="262" t="s">
        <v>86</v>
      </c>
      <c r="C25" s="263">
        <v>0.0</v>
      </c>
      <c r="D25" s="258">
        <v>0.0</v>
      </c>
      <c r="E25" s="258">
        <v>0.0</v>
      </c>
      <c r="F25" s="259">
        <v>0.0</v>
      </c>
      <c r="G25" s="257">
        <v>0.0</v>
      </c>
      <c r="H25" s="258">
        <v>0.0</v>
      </c>
      <c r="I25" s="258">
        <v>0.0</v>
      </c>
      <c r="J25" s="259">
        <v>0.0</v>
      </c>
      <c r="K25" s="257">
        <v>0.0</v>
      </c>
      <c r="L25" s="258">
        <v>0.0</v>
      </c>
      <c r="M25" s="258">
        <v>0.0</v>
      </c>
      <c r="N25" s="259">
        <v>0.0</v>
      </c>
      <c r="O25" s="257"/>
      <c r="P25" s="258"/>
      <c r="Q25" s="258"/>
      <c r="R25" s="259"/>
      <c r="S25" s="257">
        <v>0.0</v>
      </c>
      <c r="T25" s="258">
        <v>0.0</v>
      </c>
      <c r="U25" s="258">
        <v>0.0</v>
      </c>
      <c r="V25" s="259">
        <v>0.0</v>
      </c>
      <c r="W25" s="257"/>
      <c r="X25" s="258"/>
      <c r="Y25" s="258"/>
      <c r="Z25" s="259"/>
      <c r="AA25" s="257"/>
      <c r="AB25" s="258"/>
      <c r="AC25" s="258"/>
      <c r="AD25" s="259"/>
      <c r="AE25" s="257"/>
      <c r="AF25" s="258"/>
      <c r="AG25" s="258"/>
      <c r="AH25" s="258"/>
      <c r="AI25" s="257">
        <f t="shared" ref="AI25:AL25" si="13">C25+G25+K25+O25+S25+W25+AA25+AE25</f>
        <v>0</v>
      </c>
      <c r="AJ25" s="258">
        <f t="shared" si="13"/>
        <v>0</v>
      </c>
      <c r="AK25" s="258">
        <f t="shared" si="13"/>
        <v>0</v>
      </c>
      <c r="AL25" s="259">
        <f t="shared" si="13"/>
        <v>0</v>
      </c>
      <c r="AM25" s="261"/>
    </row>
    <row r="26" ht="21.75" customHeight="1">
      <c r="A26" s="261"/>
      <c r="B26" s="262" t="s">
        <v>87</v>
      </c>
      <c r="C26" s="263">
        <v>0.0</v>
      </c>
      <c r="D26" s="258">
        <v>0.0</v>
      </c>
      <c r="E26" s="258">
        <v>0.0</v>
      </c>
      <c r="F26" s="258">
        <v>0.0</v>
      </c>
      <c r="G26" s="257">
        <v>0.0</v>
      </c>
      <c r="H26" s="258">
        <v>0.0</v>
      </c>
      <c r="I26" s="258">
        <v>0.0</v>
      </c>
      <c r="J26" s="259">
        <v>0.0</v>
      </c>
      <c r="K26" s="257">
        <v>0.0</v>
      </c>
      <c r="L26" s="258">
        <v>0.0</v>
      </c>
      <c r="M26" s="258">
        <v>0.0</v>
      </c>
      <c r="N26" s="259">
        <v>0.0</v>
      </c>
      <c r="O26" s="257"/>
      <c r="P26" s="258"/>
      <c r="Q26" s="258"/>
      <c r="R26" s="259"/>
      <c r="S26" s="257">
        <v>0.0</v>
      </c>
      <c r="T26" s="258">
        <v>0.0</v>
      </c>
      <c r="U26" s="258">
        <v>0.0</v>
      </c>
      <c r="V26" s="259">
        <v>0.0</v>
      </c>
      <c r="W26" s="257"/>
      <c r="X26" s="258"/>
      <c r="Y26" s="258"/>
      <c r="Z26" s="259"/>
      <c r="AA26" s="257"/>
      <c r="AB26" s="258"/>
      <c r="AC26" s="258"/>
      <c r="AD26" s="259"/>
      <c r="AE26" s="257"/>
      <c r="AF26" s="258"/>
      <c r="AG26" s="258"/>
      <c r="AH26" s="258"/>
      <c r="AI26" s="257">
        <f t="shared" ref="AI26:AL26" si="14">C26+G26+K26+O26+S26+W26+AA26+AE26</f>
        <v>0</v>
      </c>
      <c r="AJ26" s="258">
        <f t="shared" si="14"/>
        <v>0</v>
      </c>
      <c r="AK26" s="258">
        <f t="shared" si="14"/>
        <v>0</v>
      </c>
      <c r="AL26" s="259">
        <f t="shared" si="14"/>
        <v>0</v>
      </c>
      <c r="AM26" s="261"/>
    </row>
    <row r="27" ht="21.75" customHeight="1">
      <c r="A27" s="261"/>
      <c r="B27" s="262" t="s">
        <v>88</v>
      </c>
      <c r="C27" s="263">
        <v>0.0</v>
      </c>
      <c r="D27" s="258">
        <v>0.0</v>
      </c>
      <c r="E27" s="258">
        <v>0.0</v>
      </c>
      <c r="F27" s="259">
        <v>0.0</v>
      </c>
      <c r="G27" s="257">
        <v>0.0</v>
      </c>
      <c r="H27" s="258">
        <v>0.0</v>
      </c>
      <c r="I27" s="258">
        <v>0.0</v>
      </c>
      <c r="J27" s="259">
        <v>0.0</v>
      </c>
      <c r="K27" s="257">
        <v>0.0</v>
      </c>
      <c r="L27" s="258">
        <v>0.0</v>
      </c>
      <c r="M27" s="258">
        <v>0.0</v>
      </c>
      <c r="N27" s="259">
        <v>0.0</v>
      </c>
      <c r="O27" s="257"/>
      <c r="P27" s="258"/>
      <c r="Q27" s="258"/>
      <c r="R27" s="259"/>
      <c r="S27" s="257">
        <v>0.0</v>
      </c>
      <c r="T27" s="258">
        <v>0.0</v>
      </c>
      <c r="U27" s="258">
        <v>0.0</v>
      </c>
      <c r="V27" s="259">
        <v>0.0</v>
      </c>
      <c r="W27" s="257"/>
      <c r="X27" s="258"/>
      <c r="Y27" s="258"/>
      <c r="Z27" s="259"/>
      <c r="AA27" s="257"/>
      <c r="AB27" s="258"/>
      <c r="AC27" s="258"/>
      <c r="AD27" s="259"/>
      <c r="AE27" s="257"/>
      <c r="AF27" s="258"/>
      <c r="AG27" s="258"/>
      <c r="AH27" s="258"/>
      <c r="AI27" s="257">
        <f t="shared" ref="AI27:AL27" si="15">C27+G27+K27+O27+S27+W27+AA27+AE27</f>
        <v>0</v>
      </c>
      <c r="AJ27" s="258">
        <f t="shared" si="15"/>
        <v>0</v>
      </c>
      <c r="AK27" s="258">
        <f t="shared" si="15"/>
        <v>0</v>
      </c>
      <c r="AL27" s="259">
        <f t="shared" si="15"/>
        <v>0</v>
      </c>
      <c r="AM27" s="261"/>
    </row>
    <row r="28" ht="21.75" customHeight="1">
      <c r="A28" s="261"/>
      <c r="B28" s="264"/>
      <c r="C28" s="265"/>
      <c r="D28" s="266"/>
      <c r="E28" s="266"/>
      <c r="F28" s="266"/>
      <c r="G28" s="267"/>
      <c r="H28" s="266"/>
      <c r="I28" s="266"/>
      <c r="J28" s="268"/>
      <c r="K28" s="267"/>
      <c r="L28" s="266"/>
      <c r="M28" s="266"/>
      <c r="N28" s="268"/>
      <c r="O28" s="267"/>
      <c r="P28" s="266"/>
      <c r="Q28" s="266"/>
      <c r="R28" s="268"/>
      <c r="S28" s="267"/>
      <c r="T28" s="266"/>
      <c r="U28" s="266"/>
      <c r="V28" s="268"/>
      <c r="W28" s="267"/>
      <c r="X28" s="266"/>
      <c r="Y28" s="266"/>
      <c r="Z28" s="268"/>
      <c r="AA28" s="267"/>
      <c r="AB28" s="266"/>
      <c r="AC28" s="266"/>
      <c r="AD28" s="268"/>
      <c r="AE28" s="267"/>
      <c r="AF28" s="266"/>
      <c r="AG28" s="266"/>
      <c r="AH28" s="266"/>
      <c r="AI28" s="267"/>
      <c r="AJ28" s="266"/>
      <c r="AK28" s="266"/>
      <c r="AL28" s="268"/>
      <c r="AM28" s="261"/>
    </row>
    <row r="29" ht="21.75" customHeight="1">
      <c r="A29" s="261"/>
      <c r="B29" s="262" t="s">
        <v>89</v>
      </c>
      <c r="C29" s="263">
        <v>0.0</v>
      </c>
      <c r="D29" s="258"/>
      <c r="E29" s="258"/>
      <c r="F29" s="258"/>
      <c r="G29" s="263">
        <v>0.0</v>
      </c>
      <c r="H29" s="258">
        <v>0.0</v>
      </c>
      <c r="I29" s="258">
        <v>0.0</v>
      </c>
      <c r="J29" s="259">
        <v>1.0</v>
      </c>
      <c r="K29" s="263">
        <v>0.0</v>
      </c>
      <c r="L29" s="258">
        <v>0.0</v>
      </c>
      <c r="M29" s="258">
        <v>0.0</v>
      </c>
      <c r="N29" s="259">
        <v>0.0</v>
      </c>
      <c r="O29" s="263">
        <v>0.0</v>
      </c>
      <c r="P29" s="258"/>
      <c r="Q29" s="258"/>
      <c r="R29" s="259"/>
      <c r="S29" s="263">
        <v>0.0</v>
      </c>
      <c r="T29" s="258">
        <v>0.0</v>
      </c>
      <c r="U29" s="258">
        <v>0.0</v>
      </c>
      <c r="V29" s="259">
        <v>0.0</v>
      </c>
      <c r="W29" s="263">
        <v>0.0</v>
      </c>
      <c r="X29" s="258"/>
      <c r="Y29" s="258"/>
      <c r="Z29" s="259"/>
      <c r="AA29" s="263">
        <v>0.0</v>
      </c>
      <c r="AB29" s="258"/>
      <c r="AC29" s="258"/>
      <c r="AD29" s="259"/>
      <c r="AE29" s="263">
        <v>0.0</v>
      </c>
      <c r="AF29" s="258"/>
      <c r="AG29" s="258"/>
      <c r="AH29" s="258"/>
      <c r="AI29" s="257">
        <f t="shared" ref="AI29:AL29" si="16">C29+G29+K29+O29+S29+W29+AA29+AE29</f>
        <v>0</v>
      </c>
      <c r="AJ29" s="258">
        <f t="shared" si="16"/>
        <v>0</v>
      </c>
      <c r="AK29" s="258">
        <f t="shared" si="16"/>
        <v>0</v>
      </c>
      <c r="AL29" s="259">
        <f t="shared" si="16"/>
        <v>1</v>
      </c>
      <c r="AM29" s="261"/>
    </row>
    <row r="30" ht="21.75" customHeight="1">
      <c r="A30" s="261"/>
      <c r="B30" s="262" t="s">
        <v>90</v>
      </c>
      <c r="C30" s="263">
        <v>0.0</v>
      </c>
      <c r="D30" s="258">
        <v>2.0</v>
      </c>
      <c r="E30" s="258">
        <v>0.0</v>
      </c>
      <c r="F30" s="258"/>
      <c r="G30" s="263">
        <v>0.0</v>
      </c>
      <c r="H30" s="258">
        <v>2.0</v>
      </c>
      <c r="I30" s="258">
        <v>0.0</v>
      </c>
      <c r="J30" s="259">
        <v>1.0</v>
      </c>
      <c r="K30" s="263">
        <v>0.0</v>
      </c>
      <c r="L30" s="258">
        <v>2.0</v>
      </c>
      <c r="M30" s="258">
        <v>0.0</v>
      </c>
      <c r="N30" s="259">
        <v>0.0</v>
      </c>
      <c r="O30" s="263">
        <v>0.0</v>
      </c>
      <c r="P30" s="258"/>
      <c r="Q30" s="258"/>
      <c r="R30" s="259"/>
      <c r="S30" s="263">
        <v>0.0</v>
      </c>
      <c r="T30" s="258">
        <v>2.0</v>
      </c>
      <c r="U30" s="258">
        <v>0.0</v>
      </c>
      <c r="V30" s="259">
        <v>0.0</v>
      </c>
      <c r="W30" s="263">
        <v>0.0</v>
      </c>
      <c r="X30" s="258"/>
      <c r="Y30" s="258"/>
      <c r="Z30" s="259"/>
      <c r="AA30" s="263">
        <v>0.0</v>
      </c>
      <c r="AB30" s="258">
        <v>0.0</v>
      </c>
      <c r="AC30" s="258"/>
      <c r="AD30" s="259"/>
      <c r="AE30" s="263">
        <v>0.0</v>
      </c>
      <c r="AF30" s="258"/>
      <c r="AG30" s="258"/>
      <c r="AH30" s="258"/>
      <c r="AI30" s="257">
        <f t="shared" ref="AI30:AL30" si="17">C30+G30+K30+O30+S30+W30+AA30+AE30</f>
        <v>0</v>
      </c>
      <c r="AJ30" s="258">
        <f t="shared" si="17"/>
        <v>8</v>
      </c>
      <c r="AK30" s="258">
        <f t="shared" si="17"/>
        <v>0</v>
      </c>
      <c r="AL30" s="259">
        <f t="shared" si="17"/>
        <v>1</v>
      </c>
      <c r="AM30" s="261"/>
    </row>
    <row r="31" ht="21.75" customHeight="1">
      <c r="A31" s="261"/>
      <c r="B31" s="262" t="s">
        <v>91</v>
      </c>
      <c r="C31" s="263">
        <v>0.0</v>
      </c>
      <c r="D31" s="258">
        <v>2.0</v>
      </c>
      <c r="E31" s="258">
        <v>0.0</v>
      </c>
      <c r="F31" s="258"/>
      <c r="G31" s="263">
        <v>0.0</v>
      </c>
      <c r="H31" s="258">
        <v>2.0</v>
      </c>
      <c r="I31" s="258">
        <v>0.0</v>
      </c>
      <c r="J31" s="259">
        <v>1.0</v>
      </c>
      <c r="K31" s="263">
        <v>0.0</v>
      </c>
      <c r="L31" s="258">
        <v>2.0</v>
      </c>
      <c r="M31" s="258">
        <v>0.0</v>
      </c>
      <c r="N31" s="259">
        <v>0.0</v>
      </c>
      <c r="O31" s="263">
        <v>0.0</v>
      </c>
      <c r="P31" s="258"/>
      <c r="Q31" s="258"/>
      <c r="R31" s="259"/>
      <c r="S31" s="263">
        <v>0.0</v>
      </c>
      <c r="T31" s="258">
        <v>2.0</v>
      </c>
      <c r="U31" s="258">
        <v>0.0</v>
      </c>
      <c r="V31" s="259">
        <v>0.0</v>
      </c>
      <c r="W31" s="263">
        <v>0.0</v>
      </c>
      <c r="X31" s="258"/>
      <c r="Y31" s="258"/>
      <c r="Z31" s="259"/>
      <c r="AA31" s="263">
        <v>0.0</v>
      </c>
      <c r="AB31" s="258">
        <v>2.0</v>
      </c>
      <c r="AC31" s="258"/>
      <c r="AD31" s="259"/>
      <c r="AE31" s="263">
        <v>0.0</v>
      </c>
      <c r="AF31" s="258"/>
      <c r="AG31" s="258"/>
      <c r="AH31" s="258"/>
      <c r="AI31" s="257">
        <f t="shared" ref="AI31:AL31" si="18">C31+G31+K31+O31+S31+W31+AA31+AE31</f>
        <v>0</v>
      </c>
      <c r="AJ31" s="258">
        <f t="shared" si="18"/>
        <v>10</v>
      </c>
      <c r="AK31" s="258">
        <f t="shared" si="18"/>
        <v>0</v>
      </c>
      <c r="AL31" s="259">
        <f t="shared" si="18"/>
        <v>1</v>
      </c>
      <c r="AM31" s="261"/>
    </row>
    <row r="32" ht="21.75" customHeight="1">
      <c r="A32" s="261"/>
      <c r="B32" s="262" t="s">
        <v>92</v>
      </c>
      <c r="C32" s="263">
        <v>0.0</v>
      </c>
      <c r="D32" s="258">
        <v>2.0</v>
      </c>
      <c r="E32" s="258">
        <v>0.0</v>
      </c>
      <c r="F32" s="258"/>
      <c r="G32" s="263">
        <v>0.0</v>
      </c>
      <c r="H32" s="258">
        <v>2.0</v>
      </c>
      <c r="I32" s="258">
        <v>0.0</v>
      </c>
      <c r="J32" s="259">
        <v>2.0</v>
      </c>
      <c r="K32" s="263">
        <v>0.0</v>
      </c>
      <c r="L32" s="258">
        <v>2.0</v>
      </c>
      <c r="M32" s="258">
        <v>0.0</v>
      </c>
      <c r="N32" s="259">
        <v>1.0</v>
      </c>
      <c r="O32" s="263">
        <v>0.0</v>
      </c>
      <c r="P32" s="258"/>
      <c r="Q32" s="258"/>
      <c r="R32" s="259"/>
      <c r="S32" s="263">
        <v>0.0</v>
      </c>
      <c r="T32" s="258">
        <v>2.0</v>
      </c>
      <c r="U32" s="258">
        <v>0.0</v>
      </c>
      <c r="V32" s="259">
        <v>2.0</v>
      </c>
      <c r="W32" s="263">
        <v>0.0</v>
      </c>
      <c r="X32" s="258"/>
      <c r="Y32" s="258"/>
      <c r="Z32" s="259"/>
      <c r="AA32" s="263">
        <v>0.0</v>
      </c>
      <c r="AB32" s="258">
        <v>0.0</v>
      </c>
      <c r="AC32" s="258"/>
      <c r="AD32" s="259">
        <v>1.0</v>
      </c>
      <c r="AE32" s="263">
        <v>0.0</v>
      </c>
      <c r="AF32" s="258"/>
      <c r="AG32" s="258"/>
      <c r="AH32" s="258"/>
      <c r="AI32" s="257">
        <f t="shared" ref="AI32:AL32" si="19">C32+G32+K32+O32+S32+W32+AA32+AE32</f>
        <v>0</v>
      </c>
      <c r="AJ32" s="258">
        <f t="shared" si="19"/>
        <v>8</v>
      </c>
      <c r="AK32" s="258">
        <f t="shared" si="19"/>
        <v>0</v>
      </c>
      <c r="AL32" s="259">
        <f t="shared" si="19"/>
        <v>6</v>
      </c>
      <c r="AM32" s="261"/>
    </row>
    <row r="33" ht="21.75" customHeight="1">
      <c r="A33" s="261"/>
      <c r="B33" s="262" t="s">
        <v>93</v>
      </c>
      <c r="C33" s="263">
        <v>0.0</v>
      </c>
      <c r="D33" s="258">
        <v>2.0</v>
      </c>
      <c r="E33" s="258">
        <v>2.0</v>
      </c>
      <c r="F33" s="258">
        <v>4.0</v>
      </c>
      <c r="G33" s="263">
        <v>0.0</v>
      </c>
      <c r="H33" s="258">
        <v>2.0</v>
      </c>
      <c r="I33" s="258">
        <v>0.0</v>
      </c>
      <c r="J33" s="258">
        <v>4.0</v>
      </c>
      <c r="K33" s="263">
        <v>0.0</v>
      </c>
      <c r="L33" s="258">
        <v>2.0</v>
      </c>
      <c r="M33" s="258">
        <v>0.0</v>
      </c>
      <c r="N33" s="259">
        <v>1.0</v>
      </c>
      <c r="O33" s="263">
        <v>0.0</v>
      </c>
      <c r="P33" s="258"/>
      <c r="Q33" s="258"/>
      <c r="R33" s="259"/>
      <c r="S33" s="263">
        <v>0.0</v>
      </c>
      <c r="T33" s="258">
        <v>2.0</v>
      </c>
      <c r="U33" s="258">
        <v>0.0</v>
      </c>
      <c r="V33" s="259">
        <v>2.0</v>
      </c>
      <c r="W33" s="263">
        <v>0.0</v>
      </c>
      <c r="X33" s="258"/>
      <c r="Y33" s="258"/>
      <c r="Z33" s="259"/>
      <c r="AA33" s="263">
        <v>0.0</v>
      </c>
      <c r="AB33" s="258">
        <v>2.0</v>
      </c>
      <c r="AC33" s="258"/>
      <c r="AD33" s="259">
        <v>1.0</v>
      </c>
      <c r="AE33" s="263">
        <v>0.0</v>
      </c>
      <c r="AF33" s="258"/>
      <c r="AG33" s="258"/>
      <c r="AH33" s="258"/>
      <c r="AI33" s="257">
        <f t="shared" ref="AI33:AL33" si="20">C33+G33+K33+O33+S33+W33+AA33+AE33</f>
        <v>0</v>
      </c>
      <c r="AJ33" s="258">
        <f t="shared" si="20"/>
        <v>10</v>
      </c>
      <c r="AK33" s="258">
        <f t="shared" si="20"/>
        <v>2</v>
      </c>
      <c r="AL33" s="259">
        <f t="shared" si="20"/>
        <v>12</v>
      </c>
      <c r="AM33" s="261"/>
    </row>
    <row r="34" ht="21.75" customHeight="1">
      <c r="A34" s="261"/>
      <c r="B34" s="262" t="s">
        <v>94</v>
      </c>
      <c r="C34" s="263">
        <v>0.0</v>
      </c>
      <c r="D34" s="258">
        <v>2.0</v>
      </c>
      <c r="E34" s="258">
        <v>2.0</v>
      </c>
      <c r="F34" s="258">
        <v>8.0</v>
      </c>
      <c r="G34" s="263">
        <v>0.0</v>
      </c>
      <c r="H34" s="258">
        <v>2.0</v>
      </c>
      <c r="I34" s="258">
        <v>0.0</v>
      </c>
      <c r="J34" s="258">
        <v>7.0</v>
      </c>
      <c r="K34" s="263">
        <v>0.0</v>
      </c>
      <c r="L34" s="258">
        <v>2.0</v>
      </c>
      <c r="M34" s="258">
        <v>0.0</v>
      </c>
      <c r="N34" s="259">
        <v>4.0</v>
      </c>
      <c r="O34" s="263">
        <v>0.0</v>
      </c>
      <c r="P34" s="258"/>
      <c r="Q34" s="258"/>
      <c r="R34" s="259"/>
      <c r="S34" s="263">
        <v>0.0</v>
      </c>
      <c r="T34" s="258">
        <v>2.0</v>
      </c>
      <c r="U34" s="258">
        <v>0.0</v>
      </c>
      <c r="V34" s="259">
        <v>0.0</v>
      </c>
      <c r="W34" s="263">
        <v>0.0</v>
      </c>
      <c r="X34" s="258"/>
      <c r="Y34" s="258"/>
      <c r="Z34" s="259"/>
      <c r="AA34" s="263">
        <v>0.0</v>
      </c>
      <c r="AB34" s="258">
        <v>0.0</v>
      </c>
      <c r="AC34" s="258"/>
      <c r="AD34" s="259"/>
      <c r="AE34" s="263">
        <v>0.0</v>
      </c>
      <c r="AF34" s="258"/>
      <c r="AG34" s="258"/>
      <c r="AH34" s="258"/>
      <c r="AI34" s="257">
        <f t="shared" ref="AI34:AL34" si="21">C34+G34+K34+O34+S34+W34+AA34+AE34</f>
        <v>0</v>
      </c>
      <c r="AJ34" s="258">
        <f t="shared" si="21"/>
        <v>8</v>
      </c>
      <c r="AK34" s="258">
        <f t="shared" si="21"/>
        <v>2</v>
      </c>
      <c r="AL34" s="259">
        <f t="shared" si="21"/>
        <v>19</v>
      </c>
      <c r="AM34" s="261"/>
    </row>
    <row r="35" ht="21.75" customHeight="1">
      <c r="A35" s="261"/>
      <c r="B35" s="262" t="s">
        <v>95</v>
      </c>
      <c r="C35" s="263">
        <v>0.0</v>
      </c>
      <c r="D35" s="258">
        <v>2.0</v>
      </c>
      <c r="E35" s="258">
        <v>2.0</v>
      </c>
      <c r="F35" s="258">
        <v>1.0</v>
      </c>
      <c r="G35" s="263">
        <v>0.0</v>
      </c>
      <c r="H35" s="258">
        <v>2.0</v>
      </c>
      <c r="I35" s="258">
        <v>0.0</v>
      </c>
      <c r="J35" s="259">
        <v>2.0</v>
      </c>
      <c r="K35" s="263">
        <v>0.0</v>
      </c>
      <c r="L35" s="258">
        <v>2.0</v>
      </c>
      <c r="M35" s="258">
        <v>0.0</v>
      </c>
      <c r="N35" s="259">
        <v>1.0</v>
      </c>
      <c r="O35" s="263">
        <v>0.0</v>
      </c>
      <c r="P35" s="258"/>
      <c r="Q35" s="258"/>
      <c r="R35" s="259"/>
      <c r="S35" s="263">
        <v>0.0</v>
      </c>
      <c r="T35" s="258">
        <v>2.0</v>
      </c>
      <c r="U35" s="258">
        <v>0.0</v>
      </c>
      <c r="V35" s="259">
        <v>2.0</v>
      </c>
      <c r="W35" s="263">
        <v>0.0</v>
      </c>
      <c r="X35" s="258"/>
      <c r="Y35" s="258"/>
      <c r="Z35" s="259"/>
      <c r="AA35" s="263">
        <v>0.0</v>
      </c>
      <c r="AB35" s="258">
        <v>0.0</v>
      </c>
      <c r="AC35" s="258"/>
      <c r="AD35" s="259"/>
      <c r="AE35" s="263">
        <v>0.0</v>
      </c>
      <c r="AF35" s="258"/>
      <c r="AG35" s="258"/>
      <c r="AH35" s="258"/>
      <c r="AI35" s="257">
        <f t="shared" ref="AI35:AL35" si="22">C35+G35+K35+O35+S35+W35+AA35+AE35</f>
        <v>0</v>
      </c>
      <c r="AJ35" s="258">
        <f t="shared" si="22"/>
        <v>8</v>
      </c>
      <c r="AK35" s="258">
        <f t="shared" si="22"/>
        <v>2</v>
      </c>
      <c r="AL35" s="259">
        <f t="shared" si="22"/>
        <v>6</v>
      </c>
      <c r="AM35" s="261"/>
    </row>
    <row r="36" ht="21.75" customHeight="1">
      <c r="A36" s="261"/>
      <c r="B36" s="262" t="s">
        <v>96</v>
      </c>
      <c r="C36" s="263">
        <v>0.0</v>
      </c>
      <c r="D36" s="258">
        <v>2.0</v>
      </c>
      <c r="E36" s="258">
        <v>5.0</v>
      </c>
      <c r="F36" s="258">
        <v>0.0</v>
      </c>
      <c r="G36" s="263">
        <v>0.0</v>
      </c>
      <c r="H36" s="258">
        <v>2.0</v>
      </c>
      <c r="I36" s="258">
        <v>2.0</v>
      </c>
      <c r="J36" s="259">
        <v>1.0</v>
      </c>
      <c r="K36" s="263">
        <v>0.0</v>
      </c>
      <c r="L36" s="258">
        <v>1.75</v>
      </c>
      <c r="M36" s="258">
        <v>0.0</v>
      </c>
      <c r="N36" s="259">
        <v>0.0</v>
      </c>
      <c r="O36" s="263">
        <v>0.0</v>
      </c>
      <c r="P36" s="258"/>
      <c r="Q36" s="258"/>
      <c r="R36" s="259"/>
      <c r="S36" s="263">
        <v>0.0</v>
      </c>
      <c r="T36" s="258">
        <v>2.0</v>
      </c>
      <c r="U36" s="258">
        <v>0.0</v>
      </c>
      <c r="V36" s="259">
        <v>0.0</v>
      </c>
      <c r="W36" s="263">
        <v>0.0</v>
      </c>
      <c r="X36" s="258"/>
      <c r="Y36" s="258"/>
      <c r="Z36" s="259"/>
      <c r="AA36" s="263">
        <v>0.0</v>
      </c>
      <c r="AB36" s="258">
        <v>1.0</v>
      </c>
      <c r="AC36" s="258"/>
      <c r="AD36" s="259">
        <v>1.0</v>
      </c>
      <c r="AE36" s="263">
        <v>0.0</v>
      </c>
      <c r="AF36" s="258"/>
      <c r="AG36" s="258"/>
      <c r="AH36" s="258"/>
      <c r="AI36" s="257">
        <f t="shared" ref="AI36:AL36" si="23">C36+G36+K36+O36+S36+W36+AA36+AE36</f>
        <v>0</v>
      </c>
      <c r="AJ36" s="258">
        <f t="shared" si="23"/>
        <v>8.75</v>
      </c>
      <c r="AK36" s="258">
        <f t="shared" si="23"/>
        <v>7</v>
      </c>
      <c r="AL36" s="259">
        <f t="shared" si="23"/>
        <v>2</v>
      </c>
      <c r="AM36" s="261"/>
    </row>
    <row r="37" ht="21.75" customHeight="1">
      <c r="A37" s="261"/>
      <c r="B37" s="262" t="s">
        <v>97</v>
      </c>
      <c r="C37" s="263">
        <v>0.0</v>
      </c>
      <c r="D37" s="258">
        <v>1.0</v>
      </c>
      <c r="E37" s="258">
        <v>6.0</v>
      </c>
      <c r="F37" s="258">
        <v>4.0</v>
      </c>
      <c r="G37" s="263">
        <v>0.0</v>
      </c>
      <c r="H37" s="258">
        <v>3.0</v>
      </c>
      <c r="I37" s="258">
        <v>0.0</v>
      </c>
      <c r="J37" s="259">
        <v>1.0</v>
      </c>
      <c r="K37" s="263">
        <v>0.0</v>
      </c>
      <c r="L37" s="258">
        <v>1.5</v>
      </c>
      <c r="M37" s="258">
        <v>0.0</v>
      </c>
      <c r="N37" s="259">
        <v>0.5</v>
      </c>
      <c r="O37" s="263">
        <v>0.0</v>
      </c>
      <c r="P37" s="258"/>
      <c r="Q37" s="258"/>
      <c r="R37" s="259"/>
      <c r="S37" s="263">
        <v>0.0</v>
      </c>
      <c r="T37" s="258">
        <v>2.0</v>
      </c>
      <c r="U37" s="258">
        <v>0.0</v>
      </c>
      <c r="V37" s="259">
        <v>3.0</v>
      </c>
      <c r="W37" s="263">
        <v>0.0</v>
      </c>
      <c r="X37" s="258"/>
      <c r="Y37" s="258"/>
      <c r="Z37" s="259"/>
      <c r="AA37" s="263">
        <v>0.0</v>
      </c>
      <c r="AB37" s="258">
        <v>2.0</v>
      </c>
      <c r="AC37" s="258"/>
      <c r="AD37" s="259"/>
      <c r="AE37" s="263">
        <v>0.0</v>
      </c>
      <c r="AF37" s="258"/>
      <c r="AG37" s="258"/>
      <c r="AH37" s="258"/>
      <c r="AI37" s="257">
        <f t="shared" ref="AI37:AL37" si="24">C37+G37+K37+O37+S37+W37+AA37+AE37</f>
        <v>0</v>
      </c>
      <c r="AJ37" s="258">
        <f t="shared" si="24"/>
        <v>9.5</v>
      </c>
      <c r="AK37" s="258">
        <f t="shared" si="24"/>
        <v>6</v>
      </c>
      <c r="AL37" s="259">
        <f t="shared" si="24"/>
        <v>8.5</v>
      </c>
      <c r="AM37" s="261"/>
    </row>
    <row r="38" ht="21.75" customHeight="1">
      <c r="A38" s="261"/>
      <c r="B38" s="262" t="s">
        <v>98</v>
      </c>
      <c r="C38" s="263">
        <v>0.0</v>
      </c>
      <c r="D38" s="258">
        <v>2.0</v>
      </c>
      <c r="E38" s="258">
        <v>8.0</v>
      </c>
      <c r="F38" s="258">
        <v>4.0</v>
      </c>
      <c r="G38" s="263">
        <v>0.0</v>
      </c>
      <c r="H38" s="258">
        <v>2.0</v>
      </c>
      <c r="I38" s="258">
        <v>0.0</v>
      </c>
      <c r="J38" s="259">
        <v>3.0</v>
      </c>
      <c r="K38" s="263">
        <v>0.0</v>
      </c>
      <c r="L38" s="258">
        <v>2.0</v>
      </c>
      <c r="M38" s="258">
        <v>5.0</v>
      </c>
      <c r="N38" s="259">
        <v>1.0</v>
      </c>
      <c r="O38" s="263">
        <v>0.0</v>
      </c>
      <c r="P38" s="258"/>
      <c r="Q38" s="258"/>
      <c r="R38" s="259"/>
      <c r="S38" s="263">
        <v>0.0</v>
      </c>
      <c r="T38" s="258">
        <v>2.0</v>
      </c>
      <c r="U38" s="258">
        <v>0.0</v>
      </c>
      <c r="V38" s="259">
        <v>0.0</v>
      </c>
      <c r="W38" s="263">
        <v>0.0</v>
      </c>
      <c r="X38" s="258"/>
      <c r="Y38" s="258"/>
      <c r="Z38" s="259"/>
      <c r="AA38" s="263">
        <v>0.0</v>
      </c>
      <c r="AB38" s="258">
        <v>0.0</v>
      </c>
      <c r="AC38" s="258"/>
      <c r="AD38" s="259">
        <v>1.0</v>
      </c>
      <c r="AE38" s="263">
        <v>0.0</v>
      </c>
      <c r="AF38" s="258"/>
      <c r="AG38" s="258"/>
      <c r="AH38" s="258"/>
      <c r="AI38" s="257">
        <f t="shared" ref="AI38:AL38" si="25">C38+G38+K38+O38+S38+W38+AA38+AE38</f>
        <v>0</v>
      </c>
      <c r="AJ38" s="258">
        <f t="shared" si="25"/>
        <v>8</v>
      </c>
      <c r="AK38" s="258">
        <f t="shared" si="25"/>
        <v>13</v>
      </c>
      <c r="AL38" s="259">
        <f t="shared" si="25"/>
        <v>9</v>
      </c>
      <c r="AM38" s="261"/>
    </row>
    <row r="39" ht="21.75" customHeight="1">
      <c r="A39" s="261"/>
      <c r="B39" s="262" t="s">
        <v>99</v>
      </c>
      <c r="C39" s="263">
        <v>0.0</v>
      </c>
      <c r="D39" s="258"/>
      <c r="E39" s="258">
        <v>10.0</v>
      </c>
      <c r="F39" s="258"/>
      <c r="G39" s="263">
        <v>0.0</v>
      </c>
      <c r="H39" s="258">
        <v>0.0</v>
      </c>
      <c r="I39" s="258">
        <v>0.0</v>
      </c>
      <c r="J39" s="259">
        <v>0.0</v>
      </c>
      <c r="K39" s="263">
        <v>0.0</v>
      </c>
      <c r="L39" s="258">
        <v>0.0</v>
      </c>
      <c r="M39" s="258">
        <v>0.0</v>
      </c>
      <c r="N39" s="259">
        <v>0.0</v>
      </c>
      <c r="O39" s="263">
        <v>0.0</v>
      </c>
      <c r="P39" s="258"/>
      <c r="Q39" s="258"/>
      <c r="R39" s="259"/>
      <c r="S39" s="263">
        <v>0.0</v>
      </c>
      <c r="T39" s="258">
        <v>0.0</v>
      </c>
      <c r="U39" s="258">
        <v>0.0</v>
      </c>
      <c r="V39" s="259">
        <v>0.0</v>
      </c>
      <c r="W39" s="263">
        <v>0.0</v>
      </c>
      <c r="X39" s="258"/>
      <c r="Y39" s="258"/>
      <c r="Z39" s="259"/>
      <c r="AA39" s="263">
        <v>0.0</v>
      </c>
      <c r="AB39" s="258"/>
      <c r="AC39" s="258"/>
      <c r="AD39" s="259"/>
      <c r="AE39" s="263">
        <v>0.0</v>
      </c>
      <c r="AF39" s="258"/>
      <c r="AG39" s="258"/>
      <c r="AH39" s="258"/>
      <c r="AI39" s="257">
        <f t="shared" ref="AI39:AL39" si="26">C39+G39+K39+O39+S39+W39+AA39+AE39</f>
        <v>0</v>
      </c>
      <c r="AJ39" s="258">
        <f t="shared" si="26"/>
        <v>0</v>
      </c>
      <c r="AK39" s="258">
        <f t="shared" si="26"/>
        <v>10</v>
      </c>
      <c r="AL39" s="259">
        <f t="shared" si="26"/>
        <v>0</v>
      </c>
      <c r="AM39" s="261"/>
    </row>
    <row r="40" ht="21.75" customHeight="1">
      <c r="A40" s="261"/>
      <c r="B40" s="262" t="s">
        <v>100</v>
      </c>
      <c r="C40" s="263">
        <v>0.0</v>
      </c>
      <c r="D40" s="258"/>
      <c r="E40" s="258">
        <v>1.0</v>
      </c>
      <c r="F40" s="258"/>
      <c r="G40" s="263">
        <v>0.0</v>
      </c>
      <c r="H40" s="258">
        <v>0.0</v>
      </c>
      <c r="I40" s="258">
        <v>0.0</v>
      </c>
      <c r="J40" s="259">
        <v>0.0</v>
      </c>
      <c r="K40" s="263">
        <v>0.0</v>
      </c>
      <c r="L40" s="258">
        <v>0.0</v>
      </c>
      <c r="M40" s="258">
        <v>1.0</v>
      </c>
      <c r="N40" s="259">
        <v>0.0</v>
      </c>
      <c r="O40" s="263">
        <v>0.0</v>
      </c>
      <c r="P40" s="258"/>
      <c r="Q40" s="258"/>
      <c r="R40" s="259"/>
      <c r="S40" s="263">
        <v>0.0</v>
      </c>
      <c r="T40" s="258">
        <v>0.0</v>
      </c>
      <c r="U40" s="258">
        <v>0.0</v>
      </c>
      <c r="V40" s="259">
        <v>0.0</v>
      </c>
      <c r="W40" s="263">
        <v>0.0</v>
      </c>
      <c r="X40" s="258"/>
      <c r="Y40" s="258"/>
      <c r="Z40" s="259"/>
      <c r="AA40" s="263">
        <v>0.0</v>
      </c>
      <c r="AB40" s="258"/>
      <c r="AC40" s="258"/>
      <c r="AD40" s="259"/>
      <c r="AE40" s="263">
        <v>0.0</v>
      </c>
      <c r="AF40" s="258"/>
      <c r="AG40" s="258"/>
      <c r="AH40" s="258"/>
      <c r="AI40" s="257">
        <f t="shared" ref="AI40:AL40" si="27">C40+G40+K40+O40+S40+W40+AA40+AE40</f>
        <v>0</v>
      </c>
      <c r="AJ40" s="258">
        <f t="shared" si="27"/>
        <v>0</v>
      </c>
      <c r="AK40" s="258">
        <f t="shared" si="27"/>
        <v>2</v>
      </c>
      <c r="AL40" s="259">
        <f t="shared" si="27"/>
        <v>0</v>
      </c>
      <c r="AM40" s="261"/>
    </row>
    <row r="41" ht="21.75" customHeight="1">
      <c r="A41" s="261"/>
      <c r="B41" s="262" t="s">
        <v>101</v>
      </c>
      <c r="C41" s="263">
        <v>0.0</v>
      </c>
      <c r="D41" s="258"/>
      <c r="E41" s="258">
        <v>1.0</v>
      </c>
      <c r="F41" s="258"/>
      <c r="G41" s="263">
        <v>0.0</v>
      </c>
      <c r="H41" s="258">
        <v>0.0</v>
      </c>
      <c r="I41" s="258">
        <v>6.0</v>
      </c>
      <c r="J41" s="259">
        <v>1.0</v>
      </c>
      <c r="K41" s="263">
        <v>0.0</v>
      </c>
      <c r="L41" s="258">
        <v>0.0</v>
      </c>
      <c r="M41" s="258">
        <v>8.0</v>
      </c>
      <c r="N41" s="259">
        <v>0.0</v>
      </c>
      <c r="O41" s="263">
        <v>0.0</v>
      </c>
      <c r="P41" s="258"/>
      <c r="Q41" s="258"/>
      <c r="R41" s="259"/>
      <c r="S41" s="263">
        <v>0.0</v>
      </c>
      <c r="T41" s="258">
        <v>0.0</v>
      </c>
      <c r="U41" s="258">
        <v>0.0</v>
      </c>
      <c r="V41" s="259">
        <v>0.0</v>
      </c>
      <c r="W41" s="263">
        <v>0.0</v>
      </c>
      <c r="X41" s="258"/>
      <c r="Y41" s="258"/>
      <c r="Z41" s="259"/>
      <c r="AA41" s="263">
        <v>0.0</v>
      </c>
      <c r="AB41" s="258"/>
      <c r="AC41" s="258"/>
      <c r="AD41" s="259"/>
      <c r="AE41" s="263">
        <v>0.0</v>
      </c>
      <c r="AF41" s="258"/>
      <c r="AG41" s="258"/>
      <c r="AH41" s="258"/>
      <c r="AI41" s="257">
        <f t="shared" ref="AI41:AL41" si="28">C41+G41+K41+O41+S41+W41+AA41+AE41</f>
        <v>0</v>
      </c>
      <c r="AJ41" s="258">
        <f t="shared" si="28"/>
        <v>0</v>
      </c>
      <c r="AK41" s="258">
        <f t="shared" si="28"/>
        <v>15</v>
      </c>
      <c r="AL41" s="259">
        <f t="shared" si="28"/>
        <v>1</v>
      </c>
      <c r="AM41" s="261"/>
    </row>
    <row r="42" ht="21.75" customHeight="1">
      <c r="A42" s="261"/>
      <c r="B42" s="262" t="s">
        <v>102</v>
      </c>
      <c r="C42" s="263">
        <v>0.0</v>
      </c>
      <c r="D42" s="258"/>
      <c r="E42" s="258">
        <v>10.0</v>
      </c>
      <c r="F42" s="258"/>
      <c r="G42" s="263">
        <v>0.0</v>
      </c>
      <c r="H42" s="258">
        <v>0.0</v>
      </c>
      <c r="I42" s="258">
        <v>16.0</v>
      </c>
      <c r="J42" s="259">
        <v>1.0</v>
      </c>
      <c r="K42" s="263">
        <v>0.0</v>
      </c>
      <c r="L42" s="258">
        <v>0.0</v>
      </c>
      <c r="M42" s="258">
        <v>4.0</v>
      </c>
      <c r="N42" s="259">
        <v>1.0</v>
      </c>
      <c r="O42" s="263">
        <v>0.0</v>
      </c>
      <c r="P42" s="258"/>
      <c r="Q42" s="258"/>
      <c r="R42" s="259"/>
      <c r="S42" s="263">
        <v>0.0</v>
      </c>
      <c r="T42" s="258">
        <v>0.0</v>
      </c>
      <c r="U42" s="258">
        <v>0.0</v>
      </c>
      <c r="V42" s="259">
        <v>0.0</v>
      </c>
      <c r="W42" s="263">
        <v>0.0</v>
      </c>
      <c r="X42" s="258"/>
      <c r="Y42" s="258"/>
      <c r="Z42" s="259"/>
      <c r="AA42" s="263">
        <v>0.0</v>
      </c>
      <c r="AB42" s="258"/>
      <c r="AC42" s="258"/>
      <c r="AD42" s="259"/>
      <c r="AE42" s="263">
        <v>0.0</v>
      </c>
      <c r="AF42" s="258"/>
      <c r="AG42" s="258"/>
      <c r="AH42" s="258"/>
      <c r="AI42" s="257">
        <f t="shared" ref="AI42:AL42" si="29">C42+G42+K42+O42+S42+W42+AA42+AE42</f>
        <v>0</v>
      </c>
      <c r="AJ42" s="258">
        <f t="shared" si="29"/>
        <v>0</v>
      </c>
      <c r="AK42" s="258">
        <f t="shared" si="29"/>
        <v>30</v>
      </c>
      <c r="AL42" s="259">
        <f t="shared" si="29"/>
        <v>2</v>
      </c>
      <c r="AM42" s="261"/>
    </row>
    <row r="43" ht="21.75" customHeight="1">
      <c r="A43" s="261"/>
      <c r="B43" s="264"/>
      <c r="C43" s="265"/>
      <c r="D43" s="266"/>
      <c r="E43" s="266"/>
      <c r="F43" s="266"/>
      <c r="G43" s="267"/>
      <c r="H43" s="266"/>
      <c r="I43" s="266"/>
      <c r="J43" s="268"/>
      <c r="K43" s="267"/>
      <c r="L43" s="266"/>
      <c r="M43" s="266"/>
      <c r="N43" s="268"/>
      <c r="O43" s="267"/>
      <c r="P43" s="266"/>
      <c r="Q43" s="266"/>
      <c r="R43" s="268"/>
      <c r="S43" s="267"/>
      <c r="T43" s="266"/>
      <c r="U43" s="266"/>
      <c r="V43" s="268"/>
      <c r="W43" s="267"/>
      <c r="X43" s="266"/>
      <c r="Y43" s="266"/>
      <c r="Z43" s="268"/>
      <c r="AA43" s="267"/>
      <c r="AB43" s="266"/>
      <c r="AC43" s="266"/>
      <c r="AD43" s="268"/>
      <c r="AE43" s="267"/>
      <c r="AF43" s="266"/>
      <c r="AG43" s="266"/>
      <c r="AH43" s="266"/>
      <c r="AI43" s="267"/>
      <c r="AJ43" s="266"/>
      <c r="AK43" s="266"/>
      <c r="AL43" s="268"/>
      <c r="AM43" s="261"/>
    </row>
    <row r="44" ht="21.75" customHeight="1">
      <c r="A44" s="261"/>
      <c r="B44" s="262" t="s">
        <v>103</v>
      </c>
      <c r="C44" s="263"/>
      <c r="D44" s="258"/>
      <c r="E44" s="258">
        <v>20.0</v>
      </c>
      <c r="F44" s="258"/>
      <c r="G44" s="257">
        <v>0.0</v>
      </c>
      <c r="H44" s="258">
        <v>0.0</v>
      </c>
      <c r="I44" s="258">
        <v>10.0</v>
      </c>
      <c r="J44" s="259">
        <v>0.0</v>
      </c>
      <c r="K44" s="257">
        <v>0.0</v>
      </c>
      <c r="L44" s="258">
        <v>0.0</v>
      </c>
      <c r="M44" s="258">
        <v>4.0</v>
      </c>
      <c r="N44" s="259">
        <v>0.0</v>
      </c>
      <c r="O44" s="257"/>
      <c r="P44" s="258"/>
      <c r="Q44" s="258"/>
      <c r="R44" s="259"/>
      <c r="S44" s="257">
        <v>0.0</v>
      </c>
      <c r="T44" s="258">
        <v>0.0</v>
      </c>
      <c r="U44" s="258">
        <v>2.0</v>
      </c>
      <c r="V44" s="259">
        <v>2.0</v>
      </c>
      <c r="W44" s="257"/>
      <c r="X44" s="258"/>
      <c r="Y44" s="258"/>
      <c r="Z44" s="259"/>
      <c r="AA44" s="257"/>
      <c r="AB44" s="258"/>
      <c r="AC44" s="258">
        <v>2.0</v>
      </c>
      <c r="AD44" s="259"/>
      <c r="AE44" s="257"/>
      <c r="AF44" s="258"/>
      <c r="AG44" s="258"/>
      <c r="AH44" s="258"/>
      <c r="AI44" s="257">
        <f t="shared" ref="AI44:AL44" si="30">C44+G44+K44+O44+S44+W44+AA44+AE44</f>
        <v>0</v>
      </c>
      <c r="AJ44" s="258">
        <f t="shared" si="30"/>
        <v>0</v>
      </c>
      <c r="AK44" s="258">
        <f t="shared" si="30"/>
        <v>38</v>
      </c>
      <c r="AL44" s="259">
        <f t="shared" si="30"/>
        <v>2</v>
      </c>
      <c r="AM44" s="261"/>
    </row>
    <row r="45" ht="21.75" customHeight="1">
      <c r="A45" s="261"/>
      <c r="B45" s="262" t="s">
        <v>104</v>
      </c>
      <c r="C45" s="263"/>
      <c r="D45" s="258"/>
      <c r="E45" s="258">
        <v>20.0</v>
      </c>
      <c r="F45" s="258">
        <v>2.0</v>
      </c>
      <c r="G45" s="257">
        <v>0.0</v>
      </c>
      <c r="H45" s="258">
        <v>0.0</v>
      </c>
      <c r="I45" s="258">
        <v>1.0</v>
      </c>
      <c r="J45" s="259">
        <v>0.0</v>
      </c>
      <c r="K45" s="257">
        <v>0.0</v>
      </c>
      <c r="L45" s="258">
        <v>0.0</v>
      </c>
      <c r="M45" s="258">
        <v>4.0</v>
      </c>
      <c r="N45" s="259">
        <v>1.0</v>
      </c>
      <c r="O45" s="257"/>
      <c r="P45" s="258"/>
      <c r="Q45" s="258"/>
      <c r="R45" s="259"/>
      <c r="S45" s="257">
        <v>0.0</v>
      </c>
      <c r="T45" s="258">
        <v>0.0</v>
      </c>
      <c r="U45" s="258">
        <v>0.0</v>
      </c>
      <c r="V45" s="259">
        <v>2.0</v>
      </c>
      <c r="W45" s="257"/>
      <c r="X45" s="258"/>
      <c r="Y45" s="258"/>
      <c r="Z45" s="259"/>
      <c r="AA45" s="257"/>
      <c r="AB45" s="258"/>
      <c r="AC45" s="258">
        <v>2.0</v>
      </c>
      <c r="AD45" s="259"/>
      <c r="AE45" s="257"/>
      <c r="AF45" s="258"/>
      <c r="AG45" s="258"/>
      <c r="AH45" s="258"/>
      <c r="AI45" s="257">
        <f t="shared" ref="AI45:AL45" si="31">C45+G45+K45+O45+S45+W45+AA45+AE45</f>
        <v>0</v>
      </c>
      <c r="AJ45" s="258">
        <f t="shared" si="31"/>
        <v>0</v>
      </c>
      <c r="AK45" s="258">
        <f t="shared" si="31"/>
        <v>27</v>
      </c>
      <c r="AL45" s="259">
        <f t="shared" si="31"/>
        <v>5</v>
      </c>
      <c r="AM45" s="261"/>
    </row>
    <row r="46" ht="21.75" customHeight="1">
      <c r="A46" s="261"/>
      <c r="B46" s="262" t="s">
        <v>105</v>
      </c>
      <c r="C46" s="263"/>
      <c r="D46" s="258"/>
      <c r="E46" s="258">
        <v>15.0</v>
      </c>
      <c r="F46" s="258"/>
      <c r="G46" s="257">
        <v>0.0</v>
      </c>
      <c r="H46" s="258">
        <v>0.0</v>
      </c>
      <c r="I46" s="258">
        <v>0.0</v>
      </c>
      <c r="J46" s="259">
        <v>2.0</v>
      </c>
      <c r="K46" s="257">
        <v>0.0</v>
      </c>
      <c r="L46" s="258">
        <v>1.0</v>
      </c>
      <c r="M46" s="258">
        <v>0.0</v>
      </c>
      <c r="N46" s="259">
        <v>7.0</v>
      </c>
      <c r="O46" s="257"/>
      <c r="P46" s="258"/>
      <c r="Q46" s="258"/>
      <c r="R46" s="259"/>
      <c r="S46" s="257">
        <v>0.0</v>
      </c>
      <c r="T46" s="258">
        <v>0.0</v>
      </c>
      <c r="U46" s="258">
        <v>0.0</v>
      </c>
      <c r="V46" s="259">
        <v>5.0</v>
      </c>
      <c r="W46" s="257"/>
      <c r="X46" s="258"/>
      <c r="Y46" s="258"/>
      <c r="Z46" s="259"/>
      <c r="AA46" s="257"/>
      <c r="AB46" s="258"/>
      <c r="AC46" s="258">
        <v>4.0</v>
      </c>
      <c r="AD46" s="259"/>
      <c r="AE46" s="257"/>
      <c r="AF46" s="258"/>
      <c r="AG46" s="258"/>
      <c r="AH46" s="258"/>
      <c r="AI46" s="257">
        <f t="shared" ref="AI46:AL46" si="32">C46+G46+K46+O46+S46+W46+AA46+AE46</f>
        <v>0</v>
      </c>
      <c r="AJ46" s="258">
        <f t="shared" si="32"/>
        <v>1</v>
      </c>
      <c r="AK46" s="258">
        <f t="shared" si="32"/>
        <v>19</v>
      </c>
      <c r="AL46" s="259">
        <f t="shared" si="32"/>
        <v>14</v>
      </c>
      <c r="AM46" s="261"/>
    </row>
    <row r="47" ht="21.75" customHeight="1">
      <c r="A47" s="261"/>
      <c r="B47" s="262" t="s">
        <v>106</v>
      </c>
      <c r="C47" s="263"/>
      <c r="D47" s="258">
        <v>1.0</v>
      </c>
      <c r="E47" s="258">
        <v>10.0</v>
      </c>
      <c r="F47" s="258"/>
      <c r="G47" s="257">
        <v>0.0</v>
      </c>
      <c r="H47" s="258">
        <v>1.0</v>
      </c>
      <c r="I47" s="258">
        <v>2.0</v>
      </c>
      <c r="J47" s="259">
        <v>0.5</v>
      </c>
      <c r="K47" s="257">
        <v>0.0</v>
      </c>
      <c r="L47" s="258">
        <v>1.0</v>
      </c>
      <c r="M47" s="258">
        <v>6.0</v>
      </c>
      <c r="N47" s="259">
        <v>1.0</v>
      </c>
      <c r="O47" s="257"/>
      <c r="P47" s="258"/>
      <c r="Q47" s="258"/>
      <c r="R47" s="259"/>
      <c r="S47" s="257">
        <v>0.0</v>
      </c>
      <c r="T47" s="258">
        <v>1.0</v>
      </c>
      <c r="U47" s="258">
        <v>0.0</v>
      </c>
      <c r="V47" s="259">
        <v>2.0</v>
      </c>
      <c r="W47" s="257"/>
      <c r="X47" s="258"/>
      <c r="Y47" s="258"/>
      <c r="Z47" s="259"/>
      <c r="AA47" s="257"/>
      <c r="AB47" s="258"/>
      <c r="AC47" s="258"/>
      <c r="AD47" s="259"/>
      <c r="AE47" s="257"/>
      <c r="AF47" s="258"/>
      <c r="AG47" s="258"/>
      <c r="AH47" s="258"/>
      <c r="AI47" s="257">
        <f t="shared" ref="AI47:AL47" si="33">C47+G47+K47+O47+S47+W47+AA47+AE47</f>
        <v>0</v>
      </c>
      <c r="AJ47" s="258">
        <f t="shared" si="33"/>
        <v>4</v>
      </c>
      <c r="AK47" s="258">
        <f t="shared" si="33"/>
        <v>18</v>
      </c>
      <c r="AL47" s="259">
        <f t="shared" si="33"/>
        <v>3.5</v>
      </c>
      <c r="AM47" s="261"/>
    </row>
    <row r="48" ht="21.75" customHeight="1">
      <c r="A48" s="261"/>
      <c r="B48" s="262" t="s">
        <v>107</v>
      </c>
      <c r="C48" s="263"/>
      <c r="D48" s="258">
        <v>1.0</v>
      </c>
      <c r="E48" s="258">
        <v>12.0</v>
      </c>
      <c r="F48" s="258"/>
      <c r="G48" s="257">
        <v>0.0</v>
      </c>
      <c r="H48" s="258">
        <v>1.5</v>
      </c>
      <c r="I48" s="258">
        <f>2+3+4.5+1.5</f>
        <v>11</v>
      </c>
      <c r="J48" s="259">
        <v>0.0</v>
      </c>
      <c r="K48" s="257">
        <v>0.0</v>
      </c>
      <c r="L48" s="258">
        <v>1.5</v>
      </c>
      <c r="M48" s="258">
        <v>8.0</v>
      </c>
      <c r="N48" s="259">
        <v>0.0</v>
      </c>
      <c r="O48" s="257"/>
      <c r="P48" s="258"/>
      <c r="Q48" s="258"/>
      <c r="R48" s="259"/>
      <c r="S48" s="257">
        <v>0.0</v>
      </c>
      <c r="T48" s="258">
        <v>1.0</v>
      </c>
      <c r="U48" s="258">
        <v>8.0</v>
      </c>
      <c r="V48" s="259">
        <v>0.0</v>
      </c>
      <c r="W48" s="257"/>
      <c r="X48" s="258"/>
      <c r="Y48" s="258"/>
      <c r="Z48" s="259"/>
      <c r="AA48" s="257"/>
      <c r="AB48" s="258"/>
      <c r="AC48" s="258"/>
      <c r="AD48" s="259"/>
      <c r="AE48" s="257"/>
      <c r="AF48" s="258"/>
      <c r="AG48" s="258"/>
      <c r="AH48" s="258"/>
      <c r="AI48" s="257">
        <f t="shared" ref="AI48:AL48" si="34">C48+G48+K48+O48+S48+W48+AA48+AE48</f>
        <v>0</v>
      </c>
      <c r="AJ48" s="258">
        <f t="shared" si="34"/>
        <v>5</v>
      </c>
      <c r="AK48" s="258">
        <f t="shared" si="34"/>
        <v>39</v>
      </c>
      <c r="AL48" s="259">
        <f t="shared" si="34"/>
        <v>0</v>
      </c>
      <c r="AM48" s="261"/>
    </row>
    <row r="49" ht="21.75" customHeight="1">
      <c r="A49" s="261"/>
      <c r="B49" s="262" t="s">
        <v>108</v>
      </c>
      <c r="C49" s="263"/>
      <c r="D49" s="258"/>
      <c r="E49" s="258"/>
      <c r="F49" s="258"/>
      <c r="G49" s="257">
        <v>0.0</v>
      </c>
      <c r="H49" s="258">
        <v>1.5</v>
      </c>
      <c r="I49" s="258">
        <v>10.0</v>
      </c>
      <c r="J49" s="259">
        <v>0.0</v>
      </c>
      <c r="K49" s="257">
        <v>0.0</v>
      </c>
      <c r="L49" s="258"/>
      <c r="M49" s="258">
        <v>10.0</v>
      </c>
      <c r="N49" s="259">
        <v>6.0</v>
      </c>
      <c r="O49" s="257"/>
      <c r="P49" s="258"/>
      <c r="Q49" s="258"/>
      <c r="R49" s="259"/>
      <c r="S49" s="257">
        <v>0.0</v>
      </c>
      <c r="T49" s="258">
        <v>1.5</v>
      </c>
      <c r="U49" s="258">
        <v>1.0</v>
      </c>
      <c r="V49" s="259">
        <v>5.0</v>
      </c>
      <c r="W49" s="257"/>
      <c r="X49" s="258"/>
      <c r="Y49" s="258"/>
      <c r="Z49" s="259"/>
      <c r="AA49" s="257"/>
      <c r="AB49" s="258"/>
      <c r="AC49" s="258"/>
      <c r="AD49" s="259"/>
      <c r="AE49" s="257"/>
      <c r="AF49" s="258"/>
      <c r="AG49" s="258"/>
      <c r="AH49" s="258"/>
      <c r="AI49" s="257">
        <f t="shared" ref="AI49:AL49" si="35">C49+G49+K49+O49+S49+W49+AA49+AE49</f>
        <v>0</v>
      </c>
      <c r="AJ49" s="258">
        <f t="shared" si="35"/>
        <v>3</v>
      </c>
      <c r="AK49" s="258">
        <f t="shared" si="35"/>
        <v>21</v>
      </c>
      <c r="AL49" s="259">
        <f t="shared" si="35"/>
        <v>11</v>
      </c>
      <c r="AM49" s="261"/>
    </row>
    <row r="50" ht="21.75" customHeight="1">
      <c r="A50" s="261"/>
      <c r="B50" s="262" t="s">
        <v>109</v>
      </c>
      <c r="C50" s="263"/>
      <c r="D50" s="258"/>
      <c r="E50" s="258"/>
      <c r="F50" s="258"/>
      <c r="G50" s="257"/>
      <c r="H50" s="258"/>
      <c r="I50" s="258"/>
      <c r="J50" s="259"/>
      <c r="K50" s="257">
        <v>0.0</v>
      </c>
      <c r="L50" s="258"/>
      <c r="M50" s="258"/>
      <c r="N50" s="259"/>
      <c r="O50" s="257"/>
      <c r="P50" s="258"/>
      <c r="Q50" s="258"/>
      <c r="R50" s="259"/>
      <c r="S50" s="257">
        <v>0.0</v>
      </c>
      <c r="T50" s="258"/>
      <c r="U50" s="258"/>
      <c r="V50" s="259"/>
      <c r="W50" s="257"/>
      <c r="X50" s="258"/>
      <c r="Y50" s="258"/>
      <c r="Z50" s="259"/>
      <c r="AA50" s="257"/>
      <c r="AB50" s="258"/>
      <c r="AC50" s="258"/>
      <c r="AD50" s="259"/>
      <c r="AE50" s="257"/>
      <c r="AF50" s="258"/>
      <c r="AG50" s="258"/>
      <c r="AH50" s="258"/>
      <c r="AI50" s="257">
        <f t="shared" ref="AI50:AL50" si="36">C50+G50+K50+O50+S50+W50+AA50+AE50</f>
        <v>0</v>
      </c>
      <c r="AJ50" s="258">
        <f t="shared" si="36"/>
        <v>0</v>
      </c>
      <c r="AK50" s="258">
        <f t="shared" si="36"/>
        <v>0</v>
      </c>
      <c r="AL50" s="259">
        <f t="shared" si="36"/>
        <v>0</v>
      </c>
      <c r="AM50" s="261"/>
    </row>
    <row r="51" ht="21.75" customHeight="1">
      <c r="A51" s="261"/>
      <c r="B51" s="262" t="s">
        <v>110</v>
      </c>
      <c r="C51" s="263"/>
      <c r="D51" s="258"/>
      <c r="E51" s="258"/>
      <c r="F51" s="258"/>
      <c r="G51" s="257"/>
      <c r="H51" s="258"/>
      <c r="I51" s="258"/>
      <c r="J51" s="259"/>
      <c r="K51" s="257">
        <v>0.0</v>
      </c>
      <c r="L51" s="258"/>
      <c r="M51" s="258"/>
      <c r="N51" s="259"/>
      <c r="O51" s="257"/>
      <c r="P51" s="258"/>
      <c r="Q51" s="258"/>
      <c r="R51" s="259"/>
      <c r="S51" s="257">
        <v>0.0</v>
      </c>
      <c r="T51" s="258"/>
      <c r="U51" s="258"/>
      <c r="V51" s="259"/>
      <c r="W51" s="257"/>
      <c r="X51" s="258"/>
      <c r="Y51" s="258"/>
      <c r="Z51" s="259"/>
      <c r="AA51" s="257"/>
      <c r="AB51" s="258"/>
      <c r="AC51" s="258"/>
      <c r="AD51" s="259"/>
      <c r="AE51" s="257"/>
      <c r="AF51" s="258"/>
      <c r="AG51" s="258"/>
      <c r="AH51" s="258"/>
      <c r="AI51" s="257">
        <f t="shared" ref="AI51:AL51" si="37">C51+G51+K51+O51+S51+W51+AA51+AE51</f>
        <v>0</v>
      </c>
      <c r="AJ51" s="258">
        <f t="shared" si="37"/>
        <v>0</v>
      </c>
      <c r="AK51" s="258">
        <f t="shared" si="37"/>
        <v>0</v>
      </c>
      <c r="AL51" s="259">
        <f t="shared" si="37"/>
        <v>0</v>
      </c>
      <c r="AM51" s="261"/>
    </row>
    <row r="52" ht="21.75" customHeight="1">
      <c r="A52" s="261"/>
      <c r="B52" s="262" t="s">
        <v>111</v>
      </c>
      <c r="C52" s="263"/>
      <c r="D52" s="258"/>
      <c r="E52" s="258"/>
      <c r="F52" s="258"/>
      <c r="G52" s="257"/>
      <c r="H52" s="258"/>
      <c r="I52" s="258"/>
      <c r="J52" s="259"/>
      <c r="K52" s="257">
        <v>0.0</v>
      </c>
      <c r="L52" s="258"/>
      <c r="M52" s="258"/>
      <c r="N52" s="259"/>
      <c r="O52" s="257"/>
      <c r="P52" s="258"/>
      <c r="Q52" s="258"/>
      <c r="R52" s="259"/>
      <c r="S52" s="257">
        <v>0.0</v>
      </c>
      <c r="T52" s="258">
        <v>0.0</v>
      </c>
      <c r="U52" s="258">
        <v>0.0</v>
      </c>
      <c r="V52" s="259">
        <v>0.0</v>
      </c>
      <c r="W52" s="257"/>
      <c r="X52" s="258"/>
      <c r="Y52" s="258"/>
      <c r="Z52" s="259"/>
      <c r="AA52" s="257"/>
      <c r="AB52" s="258"/>
      <c r="AC52" s="258"/>
      <c r="AD52" s="259"/>
      <c r="AE52" s="257"/>
      <c r="AF52" s="258"/>
      <c r="AG52" s="258"/>
      <c r="AH52" s="258"/>
      <c r="AI52" s="257">
        <f t="shared" ref="AI52:AL52" si="38">C52+G52+K52+O52+S52+W52+AA52+AE52</f>
        <v>0</v>
      </c>
      <c r="AJ52" s="258">
        <f t="shared" si="38"/>
        <v>0</v>
      </c>
      <c r="AK52" s="258">
        <f t="shared" si="38"/>
        <v>0</v>
      </c>
      <c r="AL52" s="259">
        <f t="shared" si="38"/>
        <v>0</v>
      </c>
      <c r="AM52" s="261"/>
    </row>
    <row r="53" ht="21.75" customHeight="1">
      <c r="A53" s="261"/>
      <c r="B53" s="262" t="s">
        <v>112</v>
      </c>
      <c r="C53" s="263"/>
      <c r="D53" s="258"/>
      <c r="E53" s="258"/>
      <c r="F53" s="258"/>
      <c r="G53" s="257"/>
      <c r="H53" s="258"/>
      <c r="I53" s="258"/>
      <c r="J53" s="259"/>
      <c r="K53" s="257">
        <v>0.0</v>
      </c>
      <c r="L53" s="258"/>
      <c r="M53" s="258"/>
      <c r="N53" s="259"/>
      <c r="O53" s="257"/>
      <c r="P53" s="258"/>
      <c r="Q53" s="258"/>
      <c r="R53" s="259"/>
      <c r="S53" s="257">
        <v>0.0</v>
      </c>
      <c r="T53" s="258">
        <v>0.0</v>
      </c>
      <c r="U53" s="258">
        <v>0.0</v>
      </c>
      <c r="V53" s="259">
        <v>0.0</v>
      </c>
      <c r="W53" s="257"/>
      <c r="X53" s="258"/>
      <c r="Y53" s="258"/>
      <c r="Z53" s="259"/>
      <c r="AA53" s="257"/>
      <c r="AB53" s="258"/>
      <c r="AC53" s="258"/>
      <c r="AD53" s="259"/>
      <c r="AE53" s="257"/>
      <c r="AF53" s="258"/>
      <c r="AG53" s="258"/>
      <c r="AH53" s="258"/>
      <c r="AI53" s="257">
        <f t="shared" ref="AI53:AL53" si="39">C53+G53+K53+O53+S53+W53+AA53+AE53</f>
        <v>0</v>
      </c>
      <c r="AJ53" s="258">
        <f t="shared" si="39"/>
        <v>0</v>
      </c>
      <c r="AK53" s="258">
        <f t="shared" si="39"/>
        <v>0</v>
      </c>
      <c r="AL53" s="259">
        <f t="shared" si="39"/>
        <v>0</v>
      </c>
      <c r="AM53" s="261"/>
    </row>
    <row r="54" ht="21.75" customHeight="1">
      <c r="A54" s="261"/>
      <c r="B54" s="264"/>
      <c r="C54" s="269"/>
      <c r="D54" s="270"/>
      <c r="E54" s="270"/>
      <c r="F54" s="270"/>
      <c r="G54" s="271"/>
      <c r="H54" s="270"/>
      <c r="I54" s="270"/>
      <c r="J54" s="272"/>
      <c r="K54" s="271"/>
      <c r="L54" s="270"/>
      <c r="M54" s="270"/>
      <c r="N54" s="272"/>
      <c r="O54" s="271"/>
      <c r="P54" s="270"/>
      <c r="Q54" s="270"/>
      <c r="R54" s="272"/>
      <c r="S54" s="271"/>
      <c r="T54" s="270"/>
      <c r="U54" s="270"/>
      <c r="V54" s="272"/>
      <c r="W54" s="271"/>
      <c r="X54" s="270"/>
      <c r="Y54" s="270"/>
      <c r="Z54" s="272"/>
      <c r="AA54" s="271"/>
      <c r="AB54" s="270"/>
      <c r="AC54" s="270"/>
      <c r="AD54" s="272"/>
      <c r="AE54" s="271"/>
      <c r="AF54" s="270"/>
      <c r="AG54" s="270"/>
      <c r="AH54" s="272"/>
      <c r="AI54" s="271"/>
      <c r="AJ54" s="270"/>
      <c r="AK54" s="270"/>
      <c r="AL54" s="272"/>
      <c r="AM54" s="261"/>
    </row>
    <row r="55" ht="21.0" customHeight="1">
      <c r="A55" s="273"/>
      <c r="B55" s="274" t="s">
        <v>113</v>
      </c>
      <c r="C55" s="275">
        <f t="shared" ref="C55:AL55" si="40">sum(C13:C54)</f>
        <v>9</v>
      </c>
      <c r="D55" s="276">
        <f t="shared" si="40"/>
        <v>20</v>
      </c>
      <c r="E55" s="276">
        <f t="shared" si="40"/>
        <v>124</v>
      </c>
      <c r="F55" s="277">
        <f t="shared" si="40"/>
        <v>23</v>
      </c>
      <c r="G55" s="275">
        <f t="shared" si="40"/>
        <v>9</v>
      </c>
      <c r="H55" s="276">
        <f t="shared" si="40"/>
        <v>25</v>
      </c>
      <c r="I55" s="276">
        <f t="shared" si="40"/>
        <v>58</v>
      </c>
      <c r="J55" s="277">
        <f t="shared" si="40"/>
        <v>29.5</v>
      </c>
      <c r="K55" s="275">
        <f t="shared" si="40"/>
        <v>9</v>
      </c>
      <c r="L55" s="276">
        <f t="shared" si="40"/>
        <v>23.75</v>
      </c>
      <c r="M55" s="276">
        <f t="shared" si="40"/>
        <v>50</v>
      </c>
      <c r="N55" s="277">
        <f t="shared" si="40"/>
        <v>26.5</v>
      </c>
      <c r="O55" s="275">
        <f t="shared" si="40"/>
        <v>0</v>
      </c>
      <c r="P55" s="276">
        <f t="shared" si="40"/>
        <v>1</v>
      </c>
      <c r="Q55" s="276">
        <f t="shared" si="40"/>
        <v>0</v>
      </c>
      <c r="R55" s="277">
        <f t="shared" si="40"/>
        <v>0</v>
      </c>
      <c r="S55" s="275">
        <f t="shared" si="40"/>
        <v>9</v>
      </c>
      <c r="T55" s="276">
        <f t="shared" si="40"/>
        <v>24.5</v>
      </c>
      <c r="U55" s="276">
        <f t="shared" si="40"/>
        <v>11</v>
      </c>
      <c r="V55" s="277">
        <f t="shared" si="40"/>
        <v>25</v>
      </c>
      <c r="W55" s="275">
        <f t="shared" si="40"/>
        <v>0</v>
      </c>
      <c r="X55" s="276">
        <f t="shared" si="40"/>
        <v>1</v>
      </c>
      <c r="Y55" s="276">
        <f t="shared" si="40"/>
        <v>0</v>
      </c>
      <c r="Z55" s="277">
        <f t="shared" si="40"/>
        <v>0</v>
      </c>
      <c r="AA55" s="275">
        <f t="shared" si="40"/>
        <v>10</v>
      </c>
      <c r="AB55" s="276">
        <f t="shared" si="40"/>
        <v>7</v>
      </c>
      <c r="AC55" s="276">
        <f t="shared" si="40"/>
        <v>8</v>
      </c>
      <c r="AD55" s="277">
        <f t="shared" si="40"/>
        <v>4</v>
      </c>
      <c r="AE55" s="275">
        <f t="shared" si="40"/>
        <v>0</v>
      </c>
      <c r="AF55" s="276">
        <f t="shared" si="40"/>
        <v>1</v>
      </c>
      <c r="AG55" s="276">
        <f t="shared" si="40"/>
        <v>0</v>
      </c>
      <c r="AH55" s="277">
        <f t="shared" si="40"/>
        <v>0</v>
      </c>
      <c r="AI55" s="275">
        <f t="shared" si="40"/>
        <v>46</v>
      </c>
      <c r="AJ55" s="276">
        <f t="shared" si="40"/>
        <v>103.25</v>
      </c>
      <c r="AK55" s="276">
        <f t="shared" si="40"/>
        <v>251</v>
      </c>
      <c r="AL55" s="277">
        <f t="shared" si="40"/>
        <v>108</v>
      </c>
      <c r="AM55" s="273"/>
    </row>
    <row r="56" ht="21.0" customHeight="1">
      <c r="A56" s="278"/>
      <c r="B56" s="279" t="s">
        <v>114</v>
      </c>
      <c r="C56" s="280">
        <f>sum(C55:F55)</f>
        <v>176</v>
      </c>
      <c r="D56" s="281"/>
      <c r="E56" s="281"/>
      <c r="F56" s="282"/>
      <c r="G56" s="280">
        <f>sum(G55:J55)</f>
        <v>121.5</v>
      </c>
      <c r="H56" s="281"/>
      <c r="I56" s="281"/>
      <c r="J56" s="282"/>
      <c r="K56" s="280">
        <f>sum(K55:N55)</f>
        <v>109.25</v>
      </c>
      <c r="L56" s="281"/>
      <c r="M56" s="281"/>
      <c r="N56" s="282"/>
      <c r="O56" s="280">
        <f>sum(O55:R55)</f>
        <v>1</v>
      </c>
      <c r="P56" s="281"/>
      <c r="Q56" s="281"/>
      <c r="R56" s="282"/>
      <c r="S56" s="280">
        <f>sum(S55:V55)</f>
        <v>69.5</v>
      </c>
      <c r="T56" s="281"/>
      <c r="U56" s="281"/>
      <c r="V56" s="282"/>
      <c r="W56" s="280">
        <f>sum(W55:Z55)</f>
        <v>1</v>
      </c>
      <c r="X56" s="281"/>
      <c r="Y56" s="281"/>
      <c r="Z56" s="282"/>
      <c r="AA56" s="280">
        <f>sum(AA55:AD55)</f>
        <v>29</v>
      </c>
      <c r="AB56" s="281"/>
      <c r="AC56" s="281"/>
      <c r="AD56" s="282"/>
      <c r="AE56" s="280">
        <f>sum(AE55:AH55)</f>
        <v>1</v>
      </c>
      <c r="AF56" s="281"/>
      <c r="AG56" s="281"/>
      <c r="AH56" s="282"/>
      <c r="AI56" s="283">
        <f>sum(AI55:AL55)</f>
        <v>508.25</v>
      </c>
      <c r="AJ56" s="281"/>
      <c r="AK56" s="281"/>
      <c r="AL56" s="282"/>
      <c r="AM56" s="273"/>
    </row>
    <row r="57" ht="21.0" customHeight="1">
      <c r="A57" s="273"/>
      <c r="B57" s="284"/>
      <c r="C57" s="273"/>
      <c r="D57" s="273"/>
      <c r="E57" s="273"/>
      <c r="F57" s="273"/>
      <c r="G57" s="273"/>
      <c r="H57" s="273"/>
      <c r="I57" s="273"/>
      <c r="J57" s="273"/>
      <c r="K57" s="273"/>
      <c r="N57" s="285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285"/>
      <c r="AA57" s="285"/>
      <c r="AB57" s="285"/>
      <c r="AC57" s="285"/>
      <c r="AD57" s="285"/>
      <c r="AE57" s="285"/>
      <c r="AF57" s="285"/>
      <c r="AG57" s="285"/>
      <c r="AI57" s="286"/>
      <c r="AJ57" s="286"/>
      <c r="AK57" s="286"/>
      <c r="AL57" s="286"/>
      <c r="AM57" s="273"/>
    </row>
    <row r="58" ht="30.0" customHeight="1">
      <c r="A58" s="287"/>
      <c r="B58" s="288"/>
      <c r="C58" s="287"/>
      <c r="D58" s="287"/>
      <c r="E58" s="287"/>
      <c r="F58" s="287"/>
      <c r="G58" s="287"/>
      <c r="H58" s="287"/>
      <c r="I58" s="287"/>
      <c r="J58" s="287"/>
      <c r="K58" s="287"/>
      <c r="L58" s="289"/>
      <c r="AM58" s="287"/>
    </row>
    <row r="59" ht="19.5" customHeight="1">
      <c r="A59" s="261"/>
      <c r="B59" s="236"/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</row>
  </sheetData>
  <mergeCells count="24">
    <mergeCell ref="O11:R11"/>
    <mergeCell ref="S11:V11"/>
    <mergeCell ref="W11:Z11"/>
    <mergeCell ref="AA11:AD11"/>
    <mergeCell ref="AE11:AH11"/>
    <mergeCell ref="AI11:AL11"/>
    <mergeCell ref="B4:G4"/>
    <mergeCell ref="B5:G5"/>
    <mergeCell ref="B6:G6"/>
    <mergeCell ref="B8:G8"/>
    <mergeCell ref="C11:F11"/>
    <mergeCell ref="G11:J11"/>
    <mergeCell ref="K11:N11"/>
    <mergeCell ref="AE56:AH56"/>
    <mergeCell ref="AI56:AL56"/>
    <mergeCell ref="AG57:AH57"/>
    <mergeCell ref="L58:AL58"/>
    <mergeCell ref="C56:F56"/>
    <mergeCell ref="G56:J56"/>
    <mergeCell ref="K56:N56"/>
    <mergeCell ref="O56:R56"/>
    <mergeCell ref="S56:V56"/>
    <mergeCell ref="W56:Z56"/>
    <mergeCell ref="AA56:AD56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37.33"/>
    <col customWidth="1" min="2" max="2" width="19.56"/>
    <col customWidth="1" min="3" max="3" width="19.33"/>
    <col customWidth="1" min="4" max="4" width="21.44"/>
    <col customWidth="1" min="5" max="5" width="28.56"/>
    <col customWidth="1" min="6" max="6" width="31.11"/>
    <col customWidth="1" min="7" max="7" width="24.89"/>
    <col customWidth="1" min="8" max="8" width="10.78"/>
    <col customWidth="1" min="9" max="9" width="21.89"/>
    <col customWidth="1" min="10" max="10" width="18.22"/>
    <col customWidth="1" min="11" max="11" width="24.44"/>
    <col customWidth="1" min="12" max="12" width="24.78"/>
    <col customWidth="1" min="13" max="13" width="22.22"/>
    <col customWidth="1" min="14" max="14" width="26.33"/>
    <col customWidth="1" min="16" max="16" width="19.22"/>
    <col customWidth="1" min="17" max="17" width="5.0"/>
  </cols>
  <sheetData>
    <row r="1">
      <c r="A1" s="290" t="s">
        <v>115</v>
      </c>
      <c r="B1" s="291" t="s">
        <v>116</v>
      </c>
      <c r="C1" s="291" t="s">
        <v>117</v>
      </c>
      <c r="D1" s="291" t="s">
        <v>118</v>
      </c>
      <c r="E1" s="292" t="s">
        <v>119</v>
      </c>
      <c r="F1" s="292" t="s">
        <v>120</v>
      </c>
      <c r="G1" s="291" t="s">
        <v>121</v>
      </c>
      <c r="H1" s="293"/>
    </row>
    <row r="2">
      <c r="A2" s="294" t="s">
        <v>122</v>
      </c>
      <c r="B2" s="295">
        <v>200.0</v>
      </c>
      <c r="C2" s="295">
        <v>200.0</v>
      </c>
      <c r="D2" s="295">
        <v>300.0</v>
      </c>
      <c r="E2" s="295">
        <v>200.0</v>
      </c>
      <c r="F2" s="295">
        <v>100.0</v>
      </c>
      <c r="G2" s="296">
        <v>100.0</v>
      </c>
      <c r="H2" s="297"/>
      <c r="I2" s="298"/>
      <c r="J2" s="298"/>
      <c r="K2" s="298"/>
      <c r="L2" s="298"/>
      <c r="M2" s="298"/>
      <c r="N2" s="298"/>
    </row>
    <row r="3">
      <c r="A3" s="294" t="s">
        <v>123</v>
      </c>
      <c r="B3" s="295">
        <v>200.0</v>
      </c>
      <c r="C3" s="295">
        <v>200.0</v>
      </c>
      <c r="D3" s="295">
        <v>300.0</v>
      </c>
      <c r="E3" s="295">
        <v>200.0</v>
      </c>
      <c r="F3" s="295">
        <v>100.0</v>
      </c>
      <c r="G3" s="296">
        <v>100.0</v>
      </c>
      <c r="H3" s="293"/>
      <c r="I3" s="299"/>
      <c r="J3" s="300"/>
      <c r="K3" s="300"/>
      <c r="L3" s="300"/>
      <c r="M3" s="300"/>
      <c r="N3" s="300"/>
    </row>
    <row r="4">
      <c r="A4" s="294" t="s">
        <v>124</v>
      </c>
      <c r="B4" s="301">
        <f t="shared" ref="B4:G4" si="1">B3-B2</f>
        <v>0</v>
      </c>
      <c r="C4" s="301">
        <f t="shared" si="1"/>
        <v>0</v>
      </c>
      <c r="D4" s="302">
        <f t="shared" si="1"/>
        <v>0</v>
      </c>
      <c r="E4" s="301">
        <f t="shared" si="1"/>
        <v>0</v>
      </c>
      <c r="F4" s="302">
        <f t="shared" si="1"/>
        <v>0</v>
      </c>
      <c r="G4" s="303">
        <f t="shared" si="1"/>
        <v>0</v>
      </c>
      <c r="H4" s="297"/>
      <c r="I4" s="304"/>
      <c r="J4" s="304"/>
      <c r="K4" s="304"/>
      <c r="L4" s="304"/>
      <c r="M4" s="304"/>
      <c r="N4" s="304"/>
    </row>
    <row r="5">
      <c r="A5" s="305" t="s">
        <v>125</v>
      </c>
      <c r="B5" s="306">
        <v>0.0</v>
      </c>
      <c r="C5" s="307">
        <v>10.0</v>
      </c>
      <c r="D5" s="307">
        <v>5.0</v>
      </c>
      <c r="E5" s="306">
        <v>5.0</v>
      </c>
      <c r="F5" s="306">
        <v>10.0</v>
      </c>
      <c r="G5" s="308">
        <v>10.0</v>
      </c>
      <c r="H5" s="297"/>
      <c r="I5" s="304"/>
      <c r="J5" s="304"/>
      <c r="K5" s="304"/>
      <c r="L5" s="304"/>
      <c r="M5" s="304"/>
      <c r="N5" s="304"/>
    </row>
    <row r="6">
      <c r="A6" s="294" t="s">
        <v>126</v>
      </c>
      <c r="B6" s="306">
        <v>0.01</v>
      </c>
      <c r="C6" s="306">
        <v>0.01</v>
      </c>
      <c r="D6" s="306">
        <v>0.01</v>
      </c>
      <c r="E6" s="306">
        <v>0.25</v>
      </c>
      <c r="F6" s="306">
        <v>0.5</v>
      </c>
      <c r="G6" s="308">
        <v>0.01</v>
      </c>
      <c r="H6" s="297"/>
      <c r="I6" s="300"/>
      <c r="J6" s="309"/>
      <c r="K6" s="309"/>
      <c r="L6" s="309"/>
      <c r="M6" s="309"/>
      <c r="N6" s="309"/>
    </row>
    <row r="7">
      <c r="A7" s="294" t="s">
        <v>127</v>
      </c>
      <c r="B7" s="306">
        <f t="shared" ref="B7:G7" si="2">B5*12</f>
        <v>0</v>
      </c>
      <c r="C7" s="306">
        <f t="shared" si="2"/>
        <v>120</v>
      </c>
      <c r="D7" s="306">
        <f t="shared" si="2"/>
        <v>60</v>
      </c>
      <c r="E7" s="306">
        <f t="shared" si="2"/>
        <v>60</v>
      </c>
      <c r="F7" s="306">
        <f t="shared" si="2"/>
        <v>120</v>
      </c>
      <c r="G7" s="308">
        <f t="shared" si="2"/>
        <v>120</v>
      </c>
      <c r="H7" s="297"/>
      <c r="I7" s="310"/>
      <c r="J7" s="310"/>
      <c r="K7" s="310"/>
      <c r="L7" s="310"/>
      <c r="M7" s="310"/>
      <c r="N7" s="310"/>
    </row>
    <row r="8">
      <c r="A8" s="311" t="s">
        <v>128</v>
      </c>
      <c r="B8" s="312">
        <f t="shared" ref="B8:G8" si="3">B6*12</f>
        <v>0.12</v>
      </c>
      <c r="C8" s="312">
        <f t="shared" si="3"/>
        <v>0.12</v>
      </c>
      <c r="D8" s="312">
        <f t="shared" si="3"/>
        <v>0.12</v>
      </c>
      <c r="E8" s="312">
        <f t="shared" si="3"/>
        <v>3</v>
      </c>
      <c r="F8" s="312">
        <f t="shared" si="3"/>
        <v>6</v>
      </c>
      <c r="G8" s="313">
        <f t="shared" si="3"/>
        <v>0.12</v>
      </c>
      <c r="H8" s="297"/>
      <c r="I8" s="304"/>
      <c r="J8" s="304"/>
      <c r="K8" s="304"/>
      <c r="L8" s="304"/>
      <c r="M8" s="304"/>
      <c r="N8" s="304"/>
    </row>
    <row r="9">
      <c r="A9" s="294" t="s">
        <v>129</v>
      </c>
      <c r="B9" s="314">
        <f t="shared" ref="B9:G9" si="4">$B$38/6</f>
        <v>186.6666667</v>
      </c>
      <c r="C9" s="314">
        <f t="shared" si="4"/>
        <v>186.6666667</v>
      </c>
      <c r="D9" s="314">
        <f t="shared" si="4"/>
        <v>186.6666667</v>
      </c>
      <c r="E9" s="314">
        <f t="shared" si="4"/>
        <v>186.6666667</v>
      </c>
      <c r="F9" s="314">
        <f t="shared" si="4"/>
        <v>186.6666667</v>
      </c>
      <c r="G9" s="315">
        <f t="shared" si="4"/>
        <v>186.6666667</v>
      </c>
      <c r="H9" s="297"/>
      <c r="I9" s="310"/>
      <c r="J9" s="310"/>
      <c r="K9" s="310"/>
      <c r="L9" s="310"/>
      <c r="M9" s="310"/>
      <c r="N9" s="310"/>
    </row>
    <row r="10">
      <c r="A10" s="316" t="s">
        <v>130</v>
      </c>
      <c r="B10" s="314">
        <f t="shared" ref="B10:G10" si="5">$B$38/6</f>
        <v>186.6666667</v>
      </c>
      <c r="C10" s="314">
        <f t="shared" si="5"/>
        <v>186.6666667</v>
      </c>
      <c r="D10" s="314">
        <f t="shared" si="5"/>
        <v>186.6666667</v>
      </c>
      <c r="E10" s="314">
        <f t="shared" si="5"/>
        <v>186.6666667</v>
      </c>
      <c r="F10" s="314">
        <f t="shared" si="5"/>
        <v>186.6666667</v>
      </c>
      <c r="G10" s="315">
        <f t="shared" si="5"/>
        <v>186.6666667</v>
      </c>
      <c r="H10" s="297"/>
      <c r="I10" s="310"/>
      <c r="J10" s="310"/>
      <c r="K10" s="310"/>
      <c r="L10" s="310"/>
      <c r="M10" s="310"/>
      <c r="N10" s="310"/>
    </row>
    <row r="11">
      <c r="A11" s="294" t="s">
        <v>131</v>
      </c>
      <c r="B11" s="314">
        <f t="shared" ref="B11:G11" si="6">B9/B2</f>
        <v>0.9333333333</v>
      </c>
      <c r="C11" s="314">
        <f t="shared" si="6"/>
        <v>0.9333333333</v>
      </c>
      <c r="D11" s="314">
        <f t="shared" si="6"/>
        <v>0.6222222222</v>
      </c>
      <c r="E11" s="314">
        <f t="shared" si="6"/>
        <v>0.9333333333</v>
      </c>
      <c r="F11" s="314">
        <f t="shared" si="6"/>
        <v>1.866666667</v>
      </c>
      <c r="G11" s="315">
        <f t="shared" si="6"/>
        <v>1.866666667</v>
      </c>
      <c r="H11" s="297"/>
      <c r="L11" s="298"/>
    </row>
    <row r="12">
      <c r="A12" s="311" t="s">
        <v>132</v>
      </c>
      <c r="B12" s="317">
        <f t="shared" ref="B12:G12" si="7">B10/B2</f>
        <v>0.9333333333</v>
      </c>
      <c r="C12" s="317">
        <f t="shared" si="7"/>
        <v>0.9333333333</v>
      </c>
      <c r="D12" s="317">
        <f t="shared" si="7"/>
        <v>0.6222222222</v>
      </c>
      <c r="E12" s="317">
        <f t="shared" si="7"/>
        <v>0.9333333333</v>
      </c>
      <c r="F12" s="317">
        <f t="shared" si="7"/>
        <v>1.866666667</v>
      </c>
      <c r="G12" s="318">
        <f t="shared" si="7"/>
        <v>1.866666667</v>
      </c>
      <c r="H12" s="297"/>
    </row>
    <row r="13">
      <c r="A13" s="293"/>
      <c r="B13" s="297"/>
      <c r="C13" s="293"/>
      <c r="D13" s="293"/>
      <c r="E13" s="297"/>
      <c r="F13" s="293"/>
      <c r="G13" s="293"/>
      <c r="H13" s="297"/>
    </row>
    <row r="14">
      <c r="A14" s="293"/>
      <c r="B14" s="293"/>
      <c r="C14" s="293"/>
      <c r="D14" s="293"/>
      <c r="E14" s="297"/>
      <c r="F14" s="293"/>
      <c r="G14" s="293"/>
      <c r="H14" s="297"/>
    </row>
    <row r="15">
      <c r="A15" s="290" t="s">
        <v>133</v>
      </c>
      <c r="B15" s="291" t="s">
        <v>116</v>
      </c>
      <c r="C15" s="291" t="s">
        <v>117</v>
      </c>
      <c r="D15" s="291" t="s">
        <v>118</v>
      </c>
      <c r="E15" s="292" t="s">
        <v>119</v>
      </c>
      <c r="F15" s="292" t="s">
        <v>120</v>
      </c>
      <c r="G15" s="291" t="s">
        <v>121</v>
      </c>
      <c r="H15" s="292" t="s">
        <v>134</v>
      </c>
    </row>
    <row r="16">
      <c r="A16" s="294" t="s">
        <v>135</v>
      </c>
      <c r="B16" s="319">
        <f t="shared" ref="B16:G16" si="8">B7*B2</f>
        <v>0</v>
      </c>
      <c r="C16" s="319">
        <f t="shared" si="8"/>
        <v>24000</v>
      </c>
      <c r="D16" s="319">
        <f t="shared" si="8"/>
        <v>18000</v>
      </c>
      <c r="E16" s="319">
        <f t="shared" si="8"/>
        <v>12000</v>
      </c>
      <c r="F16" s="319">
        <f t="shared" si="8"/>
        <v>12000</v>
      </c>
      <c r="G16" s="319">
        <f t="shared" si="8"/>
        <v>12000</v>
      </c>
      <c r="H16" s="320">
        <f t="shared" ref="H16:H18" si="10">sum(B16:G16)</f>
        <v>78000</v>
      </c>
    </row>
    <row r="17">
      <c r="A17" s="316" t="s">
        <v>136</v>
      </c>
      <c r="B17" s="306">
        <f t="shared" ref="B17:G17" si="9">B8*B2</f>
        <v>24</v>
      </c>
      <c r="C17" s="306">
        <f t="shared" si="9"/>
        <v>24</v>
      </c>
      <c r="D17" s="306">
        <f t="shared" si="9"/>
        <v>36</v>
      </c>
      <c r="E17" s="306">
        <f t="shared" si="9"/>
        <v>600</v>
      </c>
      <c r="F17" s="306">
        <f t="shared" si="9"/>
        <v>600</v>
      </c>
      <c r="G17" s="306">
        <f t="shared" si="9"/>
        <v>12</v>
      </c>
      <c r="H17" s="320">
        <f t="shared" si="10"/>
        <v>1296</v>
      </c>
    </row>
    <row r="18">
      <c r="A18" s="316" t="s">
        <v>137</v>
      </c>
      <c r="B18" s="306">
        <f t="shared" ref="B18:G18" si="11">B9*$B$40</f>
        <v>2333.333333</v>
      </c>
      <c r="C18" s="306">
        <f t="shared" si="11"/>
        <v>2333.333333</v>
      </c>
      <c r="D18" s="306">
        <f t="shared" si="11"/>
        <v>2333.333333</v>
      </c>
      <c r="E18" s="306">
        <f t="shared" si="11"/>
        <v>2333.333333</v>
      </c>
      <c r="F18" s="306">
        <f t="shared" si="11"/>
        <v>2333.333333</v>
      </c>
      <c r="G18" s="306">
        <f t="shared" si="11"/>
        <v>2333.333333</v>
      </c>
      <c r="H18" s="320">
        <f t="shared" si="10"/>
        <v>14000</v>
      </c>
    </row>
    <row r="19">
      <c r="A19" s="316" t="s">
        <v>138</v>
      </c>
      <c r="B19" s="321">
        <f t="shared" ref="B19:G19" si="12">B18+B17</f>
        <v>2357.333333</v>
      </c>
      <c r="C19" s="321">
        <f t="shared" si="12"/>
        <v>2357.333333</v>
      </c>
      <c r="D19" s="321">
        <f t="shared" si="12"/>
        <v>2369.333333</v>
      </c>
      <c r="E19" s="321">
        <f t="shared" si="12"/>
        <v>2933.333333</v>
      </c>
      <c r="F19" s="321">
        <f t="shared" si="12"/>
        <v>2933.333333</v>
      </c>
      <c r="G19" s="321">
        <f t="shared" si="12"/>
        <v>2345.333333</v>
      </c>
      <c r="H19" s="320">
        <f>G42</f>
        <v>42525</v>
      </c>
    </row>
    <row r="20">
      <c r="A20" s="292" t="s">
        <v>139</v>
      </c>
      <c r="B20" s="321">
        <f t="shared" ref="B20:H20" si="13">B16-(B19)</f>
        <v>-2357.333333</v>
      </c>
      <c r="C20" s="321">
        <f t="shared" si="13"/>
        <v>21642.66667</v>
      </c>
      <c r="D20" s="321">
        <f t="shared" si="13"/>
        <v>15630.66667</v>
      </c>
      <c r="E20" s="321">
        <f t="shared" si="13"/>
        <v>9066.666667</v>
      </c>
      <c r="F20" s="321">
        <f t="shared" si="13"/>
        <v>9066.666667</v>
      </c>
      <c r="G20" s="321">
        <f t="shared" si="13"/>
        <v>9654.666667</v>
      </c>
      <c r="H20" s="322">
        <f t="shared" si="13"/>
        <v>35475</v>
      </c>
    </row>
    <row r="23">
      <c r="A23" s="293"/>
      <c r="B23" s="293"/>
      <c r="C23" s="293"/>
      <c r="D23" s="293"/>
      <c r="E23" s="293"/>
      <c r="F23" s="293"/>
      <c r="G23" s="293"/>
      <c r="H23" s="293"/>
    </row>
    <row r="24">
      <c r="A24" s="290"/>
      <c r="B24" s="291" t="s">
        <v>116</v>
      </c>
      <c r="C24" s="291" t="s">
        <v>117</v>
      </c>
      <c r="D24" s="291" t="s">
        <v>118</v>
      </c>
      <c r="E24" s="292" t="s">
        <v>119</v>
      </c>
      <c r="F24" s="292" t="s">
        <v>120</v>
      </c>
      <c r="G24" s="291" t="s">
        <v>121</v>
      </c>
      <c r="H24" s="291" t="s">
        <v>134</v>
      </c>
    </row>
    <row r="25">
      <c r="A25" s="294" t="s">
        <v>140</v>
      </c>
      <c r="B25" s="323">
        <f t="shared" ref="B25:G25" si="14">B7</f>
        <v>0</v>
      </c>
      <c r="C25" s="319">
        <f t="shared" si="14"/>
        <v>120</v>
      </c>
      <c r="D25" s="319">
        <f t="shared" si="14"/>
        <v>60</v>
      </c>
      <c r="E25" s="319">
        <f t="shared" si="14"/>
        <v>60</v>
      </c>
      <c r="F25" s="319">
        <f t="shared" si="14"/>
        <v>120</v>
      </c>
      <c r="G25" s="324">
        <f t="shared" si="14"/>
        <v>120</v>
      </c>
      <c r="H25" s="316"/>
    </row>
    <row r="26">
      <c r="A26" s="294" t="s">
        <v>128</v>
      </c>
      <c r="B26" s="325">
        <f t="shared" ref="B26:G26" si="15">B8</f>
        <v>0.12</v>
      </c>
      <c r="C26" s="306">
        <f t="shared" si="15"/>
        <v>0.12</v>
      </c>
      <c r="D26" s="306">
        <f t="shared" si="15"/>
        <v>0.12</v>
      </c>
      <c r="E26" s="306">
        <f t="shared" si="15"/>
        <v>3</v>
      </c>
      <c r="F26" s="306">
        <f t="shared" si="15"/>
        <v>6</v>
      </c>
      <c r="G26" s="308">
        <f t="shared" si="15"/>
        <v>0.12</v>
      </c>
      <c r="H26" s="316"/>
    </row>
    <row r="27">
      <c r="A27" s="294" t="s">
        <v>141</v>
      </c>
      <c r="B27" s="325">
        <f t="shared" ref="B27:G27" si="16">$B$40*B11</f>
        <v>11.66666667</v>
      </c>
      <c r="C27" s="306">
        <f t="shared" si="16"/>
        <v>11.66666667</v>
      </c>
      <c r="D27" s="306">
        <f t="shared" si="16"/>
        <v>7.777777778</v>
      </c>
      <c r="E27" s="306">
        <f t="shared" si="16"/>
        <v>11.66666667</v>
      </c>
      <c r="F27" s="306">
        <f t="shared" si="16"/>
        <v>23.33333333</v>
      </c>
      <c r="G27" s="308">
        <f t="shared" si="16"/>
        <v>23.33333333</v>
      </c>
      <c r="H27" s="316"/>
    </row>
    <row r="28">
      <c r="A28" s="294" t="s">
        <v>142</v>
      </c>
      <c r="B28" s="325">
        <f t="shared" ref="B28:G28" si="17">$G$44*B11</f>
        <v>35.4375</v>
      </c>
      <c r="C28" s="306">
        <f t="shared" si="17"/>
        <v>35.4375</v>
      </c>
      <c r="D28" s="306">
        <f t="shared" si="17"/>
        <v>23.625</v>
      </c>
      <c r="E28" s="306">
        <f t="shared" si="17"/>
        <v>35.4375</v>
      </c>
      <c r="F28" s="306">
        <f t="shared" si="17"/>
        <v>70.875</v>
      </c>
      <c r="G28" s="308">
        <f t="shared" si="17"/>
        <v>70.875</v>
      </c>
      <c r="H28" s="316"/>
    </row>
    <row r="29">
      <c r="A29" s="305" t="s">
        <v>143</v>
      </c>
      <c r="B29" s="323">
        <f t="shared" ref="B29:G29" si="18">B25-sum(B26:B28)</f>
        <v>-47.22416667</v>
      </c>
      <c r="C29" s="319">
        <f t="shared" si="18"/>
        <v>72.77583333</v>
      </c>
      <c r="D29" s="319">
        <f t="shared" si="18"/>
        <v>28.47722222</v>
      </c>
      <c r="E29" s="319">
        <f t="shared" si="18"/>
        <v>9.895833333</v>
      </c>
      <c r="F29" s="319">
        <f t="shared" si="18"/>
        <v>19.79166667</v>
      </c>
      <c r="G29" s="324">
        <f t="shared" si="18"/>
        <v>25.67166667</v>
      </c>
      <c r="H29" s="326"/>
    </row>
    <row r="30">
      <c r="A30" s="294" t="s">
        <v>144</v>
      </c>
      <c r="B30" s="327">
        <f t="shared" ref="B30:G30" si="19">B3</f>
        <v>200</v>
      </c>
      <c r="C30" s="328">
        <f t="shared" si="19"/>
        <v>200</v>
      </c>
      <c r="D30" s="328">
        <f t="shared" si="19"/>
        <v>300</v>
      </c>
      <c r="E30" s="328">
        <f t="shared" si="19"/>
        <v>200</v>
      </c>
      <c r="F30" s="328">
        <f t="shared" si="19"/>
        <v>100</v>
      </c>
      <c r="G30" s="329">
        <f t="shared" si="19"/>
        <v>100</v>
      </c>
      <c r="H30" s="316"/>
    </row>
    <row r="31">
      <c r="A31" s="311" t="s">
        <v>145</v>
      </c>
      <c r="B31" s="330">
        <f t="shared" ref="B31:G31" si="20">if(B4&gt;0, (B29*B2)+((B25-B26)*B4), B29*B30)</f>
        <v>-9444.833333</v>
      </c>
      <c r="C31" s="312">
        <f t="shared" si="20"/>
        <v>14555.16667</v>
      </c>
      <c r="D31" s="312">
        <f t="shared" si="20"/>
        <v>8543.166667</v>
      </c>
      <c r="E31" s="312">
        <f t="shared" si="20"/>
        <v>1979.166667</v>
      </c>
      <c r="F31" s="312">
        <f t="shared" si="20"/>
        <v>1979.166667</v>
      </c>
      <c r="G31" s="313">
        <f t="shared" si="20"/>
        <v>2567.166667</v>
      </c>
      <c r="H31" s="320">
        <f>sum(B31:G31)</f>
        <v>20179</v>
      </c>
    </row>
    <row r="32">
      <c r="A32" s="311" t="s">
        <v>146</v>
      </c>
      <c r="B32" s="331">
        <f t="shared" ref="B32:G32" si="21">(B3*B29)-(B2*B29)</f>
        <v>0</v>
      </c>
      <c r="C32" s="331">
        <f t="shared" si="21"/>
        <v>0</v>
      </c>
      <c r="D32" s="331">
        <f t="shared" si="21"/>
        <v>0</v>
      </c>
      <c r="E32" s="331">
        <f t="shared" si="21"/>
        <v>0</v>
      </c>
      <c r="F32" s="331">
        <f t="shared" si="21"/>
        <v>0</v>
      </c>
      <c r="G32" s="331">
        <f t="shared" si="21"/>
        <v>0</v>
      </c>
      <c r="H32" s="332">
        <f>H31-H20</f>
        <v>-15296</v>
      </c>
    </row>
    <row r="33">
      <c r="A33" s="293"/>
      <c r="B33" s="293"/>
      <c r="C33" s="293"/>
      <c r="D33" s="293"/>
      <c r="E33" s="293"/>
      <c r="F33" s="333"/>
      <c r="G33" s="293"/>
      <c r="H33" s="293"/>
    </row>
    <row r="34">
      <c r="A34" s="293"/>
      <c r="B34" s="293"/>
      <c r="C34" s="293"/>
      <c r="D34" s="293"/>
      <c r="E34" s="293"/>
      <c r="F34" s="333"/>
      <c r="G34" s="293"/>
      <c r="H34" s="293"/>
    </row>
    <row r="35">
      <c r="A35" s="290" t="s">
        <v>147</v>
      </c>
      <c r="B35" s="290" t="s">
        <v>148</v>
      </c>
      <c r="C35" s="290" t="s">
        <v>149</v>
      </c>
      <c r="D35" s="334" t="s">
        <v>134</v>
      </c>
      <c r="F35" s="334" t="s">
        <v>150</v>
      </c>
      <c r="G35" s="292"/>
      <c r="H35" s="293"/>
    </row>
    <row r="36">
      <c r="A36" s="316" t="s">
        <v>151</v>
      </c>
      <c r="B36" s="335">
        <v>224.0</v>
      </c>
      <c r="C36" s="296">
        <v>160.0</v>
      </c>
      <c r="D36" s="336"/>
      <c r="F36" s="326" t="s">
        <v>152</v>
      </c>
      <c r="G36" s="324">
        <f t="shared" ref="G36:G37" si="22">C41</f>
        <v>6000</v>
      </c>
      <c r="H36" s="293"/>
    </row>
    <row r="37">
      <c r="A37" s="316" t="s">
        <v>153</v>
      </c>
      <c r="B37" s="336">
        <v>5.0</v>
      </c>
      <c r="C37" s="329">
        <v>3.0</v>
      </c>
      <c r="D37" s="336"/>
      <c r="F37" s="311" t="s">
        <v>154</v>
      </c>
      <c r="G37" s="313">
        <f t="shared" si="22"/>
        <v>6000</v>
      </c>
      <c r="H37" s="293"/>
    </row>
    <row r="38">
      <c r="A38" s="316" t="s">
        <v>155</v>
      </c>
      <c r="B38" s="336">
        <f t="shared" ref="B38:C38" si="23">B36*B37</f>
        <v>1120</v>
      </c>
      <c r="C38" s="329">
        <f t="shared" si="23"/>
        <v>480</v>
      </c>
      <c r="D38" s="336">
        <f t="shared" ref="D38:D39" si="24">sum(B38:C38)</f>
        <v>1600</v>
      </c>
      <c r="F38" s="294" t="s">
        <v>156</v>
      </c>
      <c r="G38" s="320">
        <v>24675.0</v>
      </c>
      <c r="H38" s="293"/>
    </row>
    <row r="39">
      <c r="A39" s="316" t="s">
        <v>157</v>
      </c>
      <c r="B39" s="337">
        <f>sum(B10:G10)</f>
        <v>1120</v>
      </c>
      <c r="C39" s="296">
        <v>480.0</v>
      </c>
      <c r="D39" s="337">
        <f t="shared" si="24"/>
        <v>1600</v>
      </c>
      <c r="F39" s="294" t="s">
        <v>158</v>
      </c>
      <c r="G39" s="320">
        <v>3900.0</v>
      </c>
      <c r="H39" s="293"/>
    </row>
    <row r="40">
      <c r="A40" s="292" t="s">
        <v>159</v>
      </c>
      <c r="B40" s="332">
        <v>12.5</v>
      </c>
      <c r="C40" s="332">
        <v>12.5</v>
      </c>
      <c r="D40" s="336"/>
      <c r="F40" s="294" t="s">
        <v>160</v>
      </c>
      <c r="G40" s="320">
        <v>1950.0</v>
      </c>
      <c r="H40" s="293"/>
    </row>
    <row r="41">
      <c r="A41" s="316" t="s">
        <v>161</v>
      </c>
      <c r="B41" s="320">
        <f>B40*B38</f>
        <v>14000</v>
      </c>
      <c r="C41" s="308">
        <f>C38*C40</f>
        <v>6000</v>
      </c>
      <c r="D41" s="320">
        <f t="shared" ref="D41:D42" si="25">sum(B41:C41)</f>
        <v>20000</v>
      </c>
      <c r="F41" s="338" t="s">
        <v>162</v>
      </c>
      <c r="G41" s="339">
        <v>6000.0</v>
      </c>
      <c r="H41" s="293"/>
    </row>
    <row r="42">
      <c r="A42" s="338" t="s">
        <v>163</v>
      </c>
      <c r="B42" s="339">
        <f>B39*B40</f>
        <v>14000</v>
      </c>
      <c r="C42" s="313">
        <f>C40*C39</f>
        <v>6000</v>
      </c>
      <c r="D42" s="339">
        <f t="shared" si="25"/>
        <v>20000</v>
      </c>
      <c r="F42" s="294" t="s">
        <v>164</v>
      </c>
      <c r="G42" s="320">
        <f>sum(G36:G41)-G37</f>
        <v>42525</v>
      </c>
      <c r="H42" s="293"/>
    </row>
    <row r="43">
      <c r="A43" s="293"/>
      <c r="B43" s="293"/>
      <c r="C43" s="293"/>
      <c r="D43" s="293"/>
      <c r="F43" s="311" t="s">
        <v>165</v>
      </c>
      <c r="G43" s="339">
        <f>sum(G37:G41)</f>
        <v>42525</v>
      </c>
      <c r="H43" s="293"/>
    </row>
    <row r="44">
      <c r="A44" s="293"/>
      <c r="B44" s="293"/>
      <c r="C44" s="293"/>
      <c r="D44" s="293"/>
      <c r="F44" s="292" t="s">
        <v>166</v>
      </c>
      <c r="G44" s="313">
        <f>G43/B39</f>
        <v>37.96875</v>
      </c>
      <c r="H44" s="293"/>
    </row>
  </sheetData>
  <conditionalFormatting sqref="H20 B25:H32">
    <cfRule type="cellIs" dxfId="3" priority="1" operator="lessThan">
      <formula>0</formula>
    </cfRule>
  </conditionalFormatting>
  <conditionalFormatting sqref="B16:H21">
    <cfRule type="cellIs" dxfId="3" priority="2" operator="lessThan">
      <formula>0</formula>
    </cfRule>
  </conditionalFormatting>
  <conditionalFormatting sqref="B4:G11">
    <cfRule type="cellIs" dxfId="3" priority="3" operator="lessThan">
      <formula>0</formula>
    </cfRule>
  </conditionalFormatting>
  <drawing r:id="rId1"/>
  <tableParts count="5"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2.67"/>
    <col customWidth="1" min="2" max="2" width="43.22"/>
    <col customWidth="1" min="3" max="6" width="16.78"/>
    <col customWidth="1" min="7" max="7" width="28.56"/>
    <col customWidth="1" min="8" max="8" width="21.11"/>
    <col customWidth="1" min="9" max="9" width="10.78"/>
    <col customWidth="1" min="10" max="11" width="10.33"/>
    <col customWidth="1" min="12" max="12" width="8.78"/>
    <col customWidth="1" min="13" max="13" width="24.78"/>
    <col customWidth="1" min="14" max="14" width="22.22"/>
    <col customWidth="1" min="15" max="15" width="26.33"/>
    <col customWidth="1" min="17" max="17" width="19.22"/>
    <col customWidth="1" min="18" max="18" width="5.0"/>
  </cols>
  <sheetData>
    <row r="1">
      <c r="A1" s="340"/>
      <c r="B1" s="290" t="s">
        <v>115</v>
      </c>
      <c r="C1" s="291" t="s">
        <v>167</v>
      </c>
      <c r="D1" s="341" t="s">
        <v>168</v>
      </c>
      <c r="E1" s="341" t="s">
        <v>169</v>
      </c>
      <c r="F1" s="342" t="s">
        <v>170</v>
      </c>
    </row>
    <row r="2">
      <c r="A2" s="341"/>
      <c r="B2" s="294" t="s">
        <v>122</v>
      </c>
      <c r="C2" s="296">
        <v>75.0</v>
      </c>
      <c r="D2" s="343">
        <v>125.0</v>
      </c>
      <c r="E2" s="344">
        <v>200.0</v>
      </c>
      <c r="F2" s="345">
        <f t="shared" ref="F2:F3" si="1">SUM(C2:E2)</f>
        <v>400</v>
      </c>
      <c r="G2" s="298"/>
      <c r="H2" s="298"/>
      <c r="I2" s="298"/>
      <c r="J2" s="298"/>
    </row>
    <row r="3">
      <c r="A3" s="341"/>
      <c r="B3" s="294" t="s">
        <v>123</v>
      </c>
      <c r="C3" s="296">
        <v>75.0</v>
      </c>
      <c r="D3" s="335">
        <v>125.0</v>
      </c>
      <c r="E3" s="346">
        <v>200.0</v>
      </c>
      <c r="F3" s="347">
        <f t="shared" si="1"/>
        <v>400</v>
      </c>
      <c r="G3" s="300"/>
      <c r="H3" s="300"/>
      <c r="I3" s="300"/>
      <c r="J3" s="300"/>
    </row>
    <row r="4">
      <c r="A4" s="341"/>
      <c r="B4" s="294" t="s">
        <v>124</v>
      </c>
      <c r="C4" s="303">
        <f t="shared" ref="C4:F4" si="2">C3-C2</f>
        <v>0</v>
      </c>
      <c r="D4" s="348">
        <f t="shared" si="2"/>
        <v>0</v>
      </c>
      <c r="E4" s="348">
        <f t="shared" si="2"/>
        <v>0</v>
      </c>
      <c r="F4" s="348">
        <f t="shared" si="2"/>
        <v>0</v>
      </c>
      <c r="G4" s="304"/>
      <c r="H4" s="304"/>
      <c r="I4" s="304"/>
      <c r="J4" s="304"/>
    </row>
    <row r="5">
      <c r="A5" s="341"/>
      <c r="B5" s="305" t="s">
        <v>125</v>
      </c>
      <c r="C5" s="349">
        <v>9.99</v>
      </c>
      <c r="D5" s="350"/>
      <c r="E5" s="351"/>
      <c r="F5" s="304"/>
      <c r="G5" s="304"/>
      <c r="H5" s="304"/>
      <c r="I5" s="304"/>
      <c r="J5" s="304"/>
    </row>
    <row r="6">
      <c r="A6" s="341"/>
      <c r="B6" s="294" t="s">
        <v>126</v>
      </c>
      <c r="C6" s="308">
        <v>0.01</v>
      </c>
      <c r="D6" s="350"/>
      <c r="E6" s="350"/>
      <c r="F6" s="309"/>
      <c r="G6" s="309"/>
      <c r="H6" s="309"/>
      <c r="I6" s="309"/>
      <c r="J6" s="309"/>
    </row>
    <row r="7">
      <c r="A7" s="341"/>
      <c r="B7" s="294" t="s">
        <v>127</v>
      </c>
      <c r="C7" s="308">
        <f t="shared" ref="C7:C8" si="3">C5*12</f>
        <v>119.88</v>
      </c>
      <c r="D7" s="350"/>
      <c r="F7" s="310"/>
      <c r="G7" s="310"/>
      <c r="H7" s="310"/>
      <c r="I7" s="310"/>
      <c r="J7" s="310"/>
    </row>
    <row r="8">
      <c r="A8" s="341"/>
      <c r="B8" s="311" t="s">
        <v>128</v>
      </c>
      <c r="C8" s="313">
        <f t="shared" si="3"/>
        <v>0.12</v>
      </c>
      <c r="D8" s="350"/>
      <c r="E8" s="351"/>
      <c r="F8" s="304"/>
      <c r="G8" s="304"/>
      <c r="H8" s="304"/>
      <c r="I8" s="304"/>
      <c r="J8" s="304"/>
    </row>
    <row r="9">
      <c r="A9" s="341"/>
      <c r="B9" s="294" t="s">
        <v>129</v>
      </c>
      <c r="C9" s="315">
        <f>$C$50</f>
        <v>420</v>
      </c>
      <c r="D9" s="350"/>
      <c r="F9" s="310"/>
      <c r="G9" s="310"/>
      <c r="H9" s="310"/>
      <c r="I9" s="310"/>
      <c r="J9" s="310"/>
    </row>
    <row r="10">
      <c r="A10" s="352"/>
      <c r="B10" s="316" t="s">
        <v>130</v>
      </c>
      <c r="C10" s="315">
        <f>$C$51</f>
        <v>268</v>
      </c>
      <c r="D10" s="350"/>
      <c r="F10" s="310"/>
      <c r="G10" s="310"/>
      <c r="H10" s="310"/>
      <c r="I10" s="310"/>
      <c r="J10" s="310"/>
    </row>
    <row r="11">
      <c r="A11" s="341"/>
      <c r="B11" s="294" t="s">
        <v>131</v>
      </c>
      <c r="C11" s="315">
        <f>C9/F2</f>
        <v>1.05</v>
      </c>
      <c r="D11" s="350"/>
      <c r="H11" s="298"/>
    </row>
    <row r="12">
      <c r="A12" s="341"/>
      <c r="B12" s="311" t="s">
        <v>132</v>
      </c>
      <c r="C12" s="318">
        <f>C10/F2</f>
        <v>0.67</v>
      </c>
      <c r="D12" s="350"/>
    </row>
    <row r="13">
      <c r="A13" s="293"/>
      <c r="B13" s="293"/>
      <c r="C13" s="293"/>
      <c r="D13" s="297"/>
    </row>
    <row r="14">
      <c r="A14" s="353"/>
      <c r="B14" s="334" t="s">
        <v>133</v>
      </c>
      <c r="C14" s="291" t="s">
        <v>167</v>
      </c>
      <c r="D14" s="291" t="s">
        <v>168</v>
      </c>
      <c r="E14" s="291" t="s">
        <v>169</v>
      </c>
      <c r="F14" s="291" t="s">
        <v>134</v>
      </c>
    </row>
    <row r="15">
      <c r="A15" s="341"/>
      <c r="B15" s="294" t="s">
        <v>135</v>
      </c>
      <c r="C15" s="354">
        <f t="shared" ref="C15:E15" si="4">$C$7*C2</f>
        <v>8991</v>
      </c>
      <c r="D15" s="354">
        <f t="shared" si="4"/>
        <v>14985</v>
      </c>
      <c r="E15" s="354">
        <f t="shared" si="4"/>
        <v>23976</v>
      </c>
      <c r="F15" s="355">
        <f>C7*F2</f>
        <v>47952</v>
      </c>
    </row>
    <row r="16">
      <c r="A16" s="352"/>
      <c r="B16" s="316" t="s">
        <v>136</v>
      </c>
      <c r="C16" s="356">
        <f t="shared" ref="C16:E16" si="5">$C$8*C2</f>
        <v>9</v>
      </c>
      <c r="D16" s="356">
        <f t="shared" si="5"/>
        <v>15</v>
      </c>
      <c r="E16" s="356">
        <f t="shared" si="5"/>
        <v>24</v>
      </c>
      <c r="F16" s="320">
        <f>C8*F2</f>
        <v>48</v>
      </c>
    </row>
    <row r="17">
      <c r="A17" s="352"/>
      <c r="B17" s="316" t="s">
        <v>137</v>
      </c>
      <c r="C17" s="357"/>
      <c r="D17" s="357"/>
      <c r="E17" s="357"/>
      <c r="F17" s="320">
        <f>C9*$C$52</f>
        <v>5250</v>
      </c>
    </row>
    <row r="18">
      <c r="A18" s="352"/>
      <c r="B18" s="316" t="s">
        <v>138</v>
      </c>
      <c r="C18" s="358"/>
      <c r="D18" s="358"/>
      <c r="E18" s="359"/>
      <c r="F18" s="360">
        <f>H54+F16</f>
        <v>40073</v>
      </c>
    </row>
    <row r="19">
      <c r="A19" s="341"/>
      <c r="B19" s="291" t="s">
        <v>171</v>
      </c>
      <c r="C19" s="361">
        <f>C15-($F$18)</f>
        <v>-31082</v>
      </c>
      <c r="D19" s="361">
        <f>D15+(C19)</f>
        <v>-16097</v>
      </c>
      <c r="E19" s="361">
        <f>E15+D19</f>
        <v>7879</v>
      </c>
      <c r="F19" s="360">
        <f>F15-(F18)</f>
        <v>7879</v>
      </c>
    </row>
    <row r="21">
      <c r="A21" s="353"/>
      <c r="B21" s="362" t="s">
        <v>172</v>
      </c>
      <c r="C21" s="363" t="s">
        <v>167</v>
      </c>
      <c r="D21" s="363" t="s">
        <v>168</v>
      </c>
      <c r="E21" s="363" t="s">
        <v>169</v>
      </c>
      <c r="F21" s="364" t="s">
        <v>134</v>
      </c>
    </row>
    <row r="22">
      <c r="A22" s="341"/>
      <c r="B22" s="363" t="s">
        <v>173</v>
      </c>
      <c r="C22" s="365">
        <f t="shared" ref="C22:F22" si="6">C3</f>
        <v>75</v>
      </c>
      <c r="D22" s="365">
        <f t="shared" si="6"/>
        <v>125</v>
      </c>
      <c r="E22" s="365">
        <f t="shared" si="6"/>
        <v>200</v>
      </c>
      <c r="F22" s="365">
        <f t="shared" si="6"/>
        <v>400</v>
      </c>
    </row>
    <row r="23">
      <c r="A23" s="341"/>
      <c r="B23" s="363" t="s">
        <v>174</v>
      </c>
      <c r="C23" s="366">
        <f t="shared" ref="C23:E23" si="7">$C$7*C3</f>
        <v>8991</v>
      </c>
      <c r="D23" s="366">
        <f t="shared" si="7"/>
        <v>14985</v>
      </c>
      <c r="E23" s="366">
        <f t="shared" si="7"/>
        <v>23976</v>
      </c>
      <c r="F23" s="367">
        <f>sum(C23:E23)</f>
        <v>47952</v>
      </c>
    </row>
    <row r="24">
      <c r="A24" s="341"/>
      <c r="B24" s="363" t="s">
        <v>175</v>
      </c>
      <c r="C24" s="366">
        <f t="shared" ref="C24:E24" si="8">$C$8*C3</f>
        <v>9</v>
      </c>
      <c r="D24" s="366">
        <f t="shared" si="8"/>
        <v>15</v>
      </c>
      <c r="E24" s="366">
        <f t="shared" si="8"/>
        <v>24</v>
      </c>
      <c r="F24" s="367">
        <f>C8*F3</f>
        <v>48</v>
      </c>
    </row>
    <row r="25" hidden="1">
      <c r="A25" s="341"/>
      <c r="B25" s="363" t="s">
        <v>176</v>
      </c>
      <c r="C25" s="368"/>
      <c r="D25" s="368"/>
      <c r="E25" s="368"/>
      <c r="F25" s="367">
        <f>C10*$C$52</f>
        <v>3350</v>
      </c>
    </row>
    <row r="26" hidden="1">
      <c r="A26" s="341"/>
      <c r="B26" s="363" t="s">
        <v>177</v>
      </c>
      <c r="C26" s="369"/>
      <c r="D26" s="369"/>
      <c r="E26" s="369"/>
      <c r="F26" s="367">
        <f>H55+F24</f>
        <v>39935.5</v>
      </c>
    </row>
    <row r="27">
      <c r="A27" s="341"/>
      <c r="B27" s="363" t="s">
        <v>178</v>
      </c>
      <c r="C27" s="366">
        <f>C39</f>
        <v>874.96875</v>
      </c>
      <c r="D27" s="366">
        <f>C41</f>
        <v>1458.28125</v>
      </c>
      <c r="E27" s="366">
        <f>C43</f>
        <v>2333.25</v>
      </c>
      <c r="F27" s="370">
        <f>SUM(C27:E27)</f>
        <v>4666.5</v>
      </c>
    </row>
    <row r="28">
      <c r="A28" s="341"/>
      <c r="B28" s="363" t="s">
        <v>179</v>
      </c>
      <c r="C28" s="366">
        <f t="shared" ref="C28:E28" si="9">C23-C27</f>
        <v>8116.03125</v>
      </c>
      <c r="D28" s="366">
        <f t="shared" si="9"/>
        <v>13526.71875</v>
      </c>
      <c r="E28" s="366">
        <f t="shared" si="9"/>
        <v>21642.75</v>
      </c>
      <c r="F28" s="370">
        <f>sum(C28:E28)</f>
        <v>43285.5</v>
      </c>
    </row>
    <row r="29">
      <c r="A29" s="341"/>
      <c r="B29" s="363" t="s">
        <v>180</v>
      </c>
      <c r="C29" s="366">
        <f>C23-($F$26)</f>
        <v>-30944.5</v>
      </c>
      <c r="D29" s="366">
        <f t="shared" ref="D29:E29" si="10">D23+C29</f>
        <v>-15959.5</v>
      </c>
      <c r="E29" s="366">
        <f t="shared" si="10"/>
        <v>8016.5</v>
      </c>
      <c r="F29" s="370">
        <f>F23-(F26)</f>
        <v>8016.5</v>
      </c>
    </row>
    <row r="30">
      <c r="A30" s="293"/>
      <c r="B30" s="293"/>
      <c r="C30" s="293"/>
      <c r="D30" s="293"/>
      <c r="I30" s="371"/>
      <c r="J30" s="372" t="str">
        <f t="shared" ref="J30:L30" si="11">C21</f>
        <v>1st Year</v>
      </c>
      <c r="K30" s="372" t="str">
        <f t="shared" si="11"/>
        <v>2nd Year</v>
      </c>
      <c r="L30" s="372" t="str">
        <f t="shared" si="11"/>
        <v>3rd Year</v>
      </c>
    </row>
    <row r="31">
      <c r="A31" s="340"/>
      <c r="B31" s="334" t="s">
        <v>181</v>
      </c>
      <c r="C31" s="305"/>
      <c r="D31" s="291" t="s">
        <v>182</v>
      </c>
      <c r="I31" s="373">
        <f>-F26</f>
        <v>-39935.5</v>
      </c>
      <c r="J31" s="373">
        <f t="shared" ref="J31:L31" si="12">C29</f>
        <v>-30944.5</v>
      </c>
      <c r="K31" s="373">
        <f t="shared" si="12"/>
        <v>-15959.5</v>
      </c>
      <c r="L31" s="373">
        <f t="shared" si="12"/>
        <v>8016.5</v>
      </c>
    </row>
    <row r="32">
      <c r="A32" s="341"/>
      <c r="B32" s="374" t="s">
        <v>125</v>
      </c>
      <c r="C32" s="375">
        <f>C5</f>
        <v>9.99</v>
      </c>
      <c r="D32" s="376"/>
    </row>
    <row r="33">
      <c r="A33" s="341"/>
      <c r="B33" s="294" t="s">
        <v>140</v>
      </c>
      <c r="C33" s="306">
        <f t="shared" ref="C33:C34" si="13">C7</f>
        <v>119.88</v>
      </c>
      <c r="D33" s="316"/>
    </row>
    <row r="34">
      <c r="A34" s="341"/>
      <c r="B34" s="294" t="s">
        <v>128</v>
      </c>
      <c r="C34" s="306">
        <f t="shared" si="13"/>
        <v>0.12</v>
      </c>
      <c r="D34" s="316"/>
    </row>
    <row r="35">
      <c r="A35" s="341"/>
      <c r="B35" s="294" t="s">
        <v>141</v>
      </c>
      <c r="C35" s="306">
        <f>$C$52*C12</f>
        <v>8.375</v>
      </c>
      <c r="D35" s="316"/>
    </row>
    <row r="36">
      <c r="A36" s="341"/>
      <c r="B36" s="294" t="s">
        <v>142</v>
      </c>
      <c r="C36" s="306">
        <f>$H$56*C12</f>
        <v>99.71875</v>
      </c>
      <c r="D36" s="316"/>
    </row>
    <row r="37">
      <c r="A37" s="341"/>
      <c r="B37" s="305" t="s">
        <v>143</v>
      </c>
      <c r="C37" s="355">
        <f>C33-sum(C34:C36)</f>
        <v>11.66625</v>
      </c>
      <c r="D37" s="326"/>
    </row>
    <row r="38">
      <c r="A38" s="341"/>
      <c r="B38" s="311" t="s">
        <v>183</v>
      </c>
      <c r="C38" s="377">
        <f>C37/C33</f>
        <v>0.09731606607</v>
      </c>
      <c r="D38" s="338"/>
    </row>
    <row r="39">
      <c r="A39" s="341"/>
      <c r="B39" s="378" t="s">
        <v>145</v>
      </c>
      <c r="C39" s="320">
        <f>if(C4&gt;0, (C37*F2)+((C33-C34)*C4), C37*C3)</f>
        <v>874.96875</v>
      </c>
      <c r="D39" s="308">
        <f>sum(C39)</f>
        <v>874.96875</v>
      </c>
    </row>
    <row r="40">
      <c r="A40" s="341"/>
      <c r="B40" s="378" t="s">
        <v>146</v>
      </c>
      <c r="C40" s="379">
        <f>(C3*C37)-(C2*C37)</f>
        <v>0</v>
      </c>
      <c r="D40" s="308">
        <f>C40</f>
        <v>0</v>
      </c>
    </row>
    <row r="41">
      <c r="A41" s="341"/>
      <c r="B41" s="374" t="s">
        <v>184</v>
      </c>
      <c r="C41" s="355">
        <f>if(C4&gt;0, (C37*F2)+((C33-C34)*C4), C37*D3)</f>
        <v>1458.28125</v>
      </c>
      <c r="D41" s="324">
        <f t="shared" ref="D41:D44" si="14">D39+C41</f>
        <v>2333.25</v>
      </c>
    </row>
    <row r="42">
      <c r="A42" s="341"/>
      <c r="B42" s="378" t="s">
        <v>185</v>
      </c>
      <c r="C42" s="379">
        <f>(D3*C37)-(D2*C37)</f>
        <v>0</v>
      </c>
      <c r="D42" s="308">
        <f t="shared" si="14"/>
        <v>0</v>
      </c>
    </row>
    <row r="43">
      <c r="A43" s="341"/>
      <c r="B43" s="374" t="s">
        <v>186</v>
      </c>
      <c r="C43" s="355">
        <f>if(C4&gt;0, (C37*F2)+((C33-C34)*C4), C37*E3)</f>
        <v>2333.25</v>
      </c>
      <c r="D43" s="324">
        <f t="shared" si="14"/>
        <v>4666.5</v>
      </c>
    </row>
    <row r="44">
      <c r="A44" s="341"/>
      <c r="B44" s="380" t="s">
        <v>187</v>
      </c>
      <c r="C44" s="381">
        <f>(E3*C37)-(E2*C37)</f>
        <v>0</v>
      </c>
      <c r="D44" s="313">
        <f t="shared" si="14"/>
        <v>0</v>
      </c>
    </row>
    <row r="45">
      <c r="A45" s="293"/>
      <c r="B45" s="293"/>
      <c r="C45" s="293"/>
      <c r="D45" s="293"/>
      <c r="E45" s="293"/>
      <c r="F45" s="293"/>
      <c r="G45" s="333"/>
      <c r="H45" s="293"/>
      <c r="I45" s="293"/>
    </row>
    <row r="46">
      <c r="A46" s="293"/>
      <c r="B46" s="293"/>
      <c r="C46" s="293"/>
      <c r="D46" s="293"/>
      <c r="E46" s="293"/>
      <c r="F46" s="293"/>
      <c r="G46" s="333"/>
      <c r="H46" s="293"/>
      <c r="I46" s="293"/>
    </row>
    <row r="47">
      <c r="A47" s="382"/>
      <c r="B47" s="383" t="s">
        <v>147</v>
      </c>
      <c r="C47" s="383" t="s">
        <v>148</v>
      </c>
      <c r="D47" s="383" t="s">
        <v>149</v>
      </c>
      <c r="E47" s="384" t="s">
        <v>134</v>
      </c>
      <c r="G47" s="334" t="s">
        <v>150</v>
      </c>
      <c r="H47" s="292"/>
      <c r="I47" s="293"/>
    </row>
    <row r="48">
      <c r="A48" s="385"/>
      <c r="B48" s="386" t="s">
        <v>151</v>
      </c>
      <c r="C48" s="387">
        <v>100.0</v>
      </c>
      <c r="D48" s="388"/>
      <c r="E48" s="389"/>
      <c r="G48" s="326" t="s">
        <v>152</v>
      </c>
      <c r="H48" s="324">
        <f t="shared" ref="H48:H49" si="15">D53</f>
        <v>3500</v>
      </c>
      <c r="I48" s="293"/>
    </row>
    <row r="49">
      <c r="A49" s="390"/>
      <c r="B49" s="391" t="s">
        <v>153</v>
      </c>
      <c r="C49" s="392">
        <v>7.0</v>
      </c>
      <c r="D49" s="393"/>
      <c r="E49" s="394"/>
      <c r="G49" s="311" t="s">
        <v>154</v>
      </c>
      <c r="H49" s="313">
        <f t="shared" si="15"/>
        <v>3362.5</v>
      </c>
      <c r="I49" s="293"/>
    </row>
    <row r="50">
      <c r="A50" s="385"/>
      <c r="B50" s="386" t="s">
        <v>155</v>
      </c>
      <c r="C50" s="389">
        <f>C48*C49*0.6</f>
        <v>420</v>
      </c>
      <c r="D50" s="395">
        <f>C48*C49*0.4</f>
        <v>280</v>
      </c>
      <c r="E50" s="389">
        <f t="shared" ref="E50:E51" si="16">sum(C50:D50)</f>
        <v>700</v>
      </c>
      <c r="G50" s="294" t="s">
        <v>156</v>
      </c>
      <c r="H50" s="320">
        <v>24675.0</v>
      </c>
      <c r="I50" s="293"/>
    </row>
    <row r="51">
      <c r="A51" s="390"/>
      <c r="B51" s="391" t="s">
        <v>157</v>
      </c>
      <c r="C51" s="396">
        <f>268</f>
        <v>268</v>
      </c>
      <c r="D51" s="397">
        <f>537-C51</f>
        <v>269</v>
      </c>
      <c r="E51" s="396">
        <f t="shared" si="16"/>
        <v>537</v>
      </c>
      <c r="G51" s="294" t="s">
        <v>158</v>
      </c>
      <c r="H51" s="320">
        <v>3900.0</v>
      </c>
      <c r="I51" s="293"/>
    </row>
    <row r="52">
      <c r="A52" s="385"/>
      <c r="B52" s="398" t="s">
        <v>159</v>
      </c>
      <c r="C52" s="399">
        <v>12.5</v>
      </c>
      <c r="D52" s="399">
        <v>12.5</v>
      </c>
      <c r="E52" s="389"/>
      <c r="G52" s="294" t="s">
        <v>160</v>
      </c>
      <c r="H52" s="320">
        <v>1950.0</v>
      </c>
      <c r="I52" s="293"/>
    </row>
    <row r="53">
      <c r="A53" s="390"/>
      <c r="B53" s="391" t="s">
        <v>161</v>
      </c>
      <c r="C53" s="400">
        <f>C52*C50</f>
        <v>5250</v>
      </c>
      <c r="D53" s="401">
        <f>D50*D52</f>
        <v>3500</v>
      </c>
      <c r="E53" s="400">
        <f t="shared" ref="E53:E54" si="17">sum(C53:D53)</f>
        <v>8750</v>
      </c>
      <c r="G53" s="338" t="s">
        <v>162</v>
      </c>
      <c r="H53" s="339">
        <v>6000.0</v>
      </c>
      <c r="I53" s="293"/>
    </row>
    <row r="54">
      <c r="A54" s="385"/>
      <c r="B54" s="402" t="s">
        <v>163</v>
      </c>
      <c r="C54" s="403">
        <f>C51*C52</f>
        <v>3350</v>
      </c>
      <c r="D54" s="404">
        <f>D52*D51</f>
        <v>3362.5</v>
      </c>
      <c r="E54" s="403">
        <f t="shared" si="17"/>
        <v>6712.5</v>
      </c>
      <c r="G54" s="294" t="s">
        <v>164</v>
      </c>
      <c r="H54" s="320">
        <f>sum(H48:H53)-H49</f>
        <v>40025</v>
      </c>
      <c r="I54" s="293"/>
    </row>
    <row r="55">
      <c r="A55" s="293"/>
      <c r="B55" s="293"/>
      <c r="C55" s="293"/>
      <c r="D55" s="293"/>
      <c r="E55" s="293"/>
      <c r="G55" s="311" t="s">
        <v>165</v>
      </c>
      <c r="H55" s="339">
        <f>sum(H49:H53)</f>
        <v>39887.5</v>
      </c>
      <c r="I55" s="293"/>
    </row>
    <row r="56">
      <c r="A56" s="293"/>
      <c r="B56" s="293"/>
      <c r="C56" s="293"/>
      <c r="D56" s="293"/>
      <c r="E56" s="293"/>
      <c r="G56" s="292" t="s">
        <v>166</v>
      </c>
      <c r="H56" s="313">
        <f>H55/C51</f>
        <v>148.8339552</v>
      </c>
      <c r="I56" s="293"/>
    </row>
  </sheetData>
  <mergeCells count="2">
    <mergeCell ref="C48:D48"/>
    <mergeCell ref="C49:D49"/>
  </mergeCells>
  <conditionalFormatting sqref="D19:F19 A27:B29 D27:F29 C32:I44">
    <cfRule type="cellIs" dxfId="3" priority="1" operator="lessThan">
      <formula>0</formula>
    </cfRule>
  </conditionalFormatting>
  <conditionalFormatting sqref="C15:F20 G20:I20 A22:A29 B23:F29">
    <cfRule type="cellIs" dxfId="3" priority="2" operator="lessThan">
      <formula>0</formula>
    </cfRule>
  </conditionalFormatting>
  <conditionalFormatting sqref="C4:C11 D4:E4 F4:H11 C32">
    <cfRule type="cellIs" dxfId="3" priority="3" operator="lessThan">
      <formula>0</formula>
    </cfRule>
  </conditionalFormatting>
  <drawing r:id="rId1"/>
  <tableParts count="5"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5.44"/>
    <col customWidth="1" min="2" max="2" width="15.33"/>
    <col customWidth="1" min="3" max="11" width="13.44"/>
    <col customWidth="1" min="12" max="12" width="5.44"/>
  </cols>
  <sheetData>
    <row r="1" ht="6.0" customHeight="1">
      <c r="A1" s="209"/>
      <c r="B1" s="209"/>
      <c r="C1" s="210"/>
      <c r="D1" s="210"/>
      <c r="E1" s="209"/>
      <c r="F1" s="209"/>
      <c r="G1" s="209"/>
      <c r="H1" s="209"/>
      <c r="I1" s="209"/>
      <c r="J1" s="209"/>
      <c r="K1" s="211"/>
      <c r="L1" s="212"/>
    </row>
    <row r="2" ht="18.0" customHeight="1">
      <c r="A2" s="213"/>
      <c r="B2" s="213"/>
      <c r="C2" s="214"/>
      <c r="D2" s="214"/>
      <c r="E2" s="213"/>
      <c r="F2" s="213"/>
      <c r="G2" s="213"/>
      <c r="H2" s="213"/>
      <c r="I2" s="213"/>
      <c r="J2" s="213"/>
      <c r="K2" s="215"/>
      <c r="L2" s="216"/>
    </row>
    <row r="3" ht="19.5" customHeight="1">
      <c r="A3" s="217"/>
      <c r="B3" s="218" t="s">
        <v>2</v>
      </c>
      <c r="C3" s="219"/>
      <c r="D3" s="219"/>
      <c r="E3" s="217"/>
      <c r="F3" s="220"/>
      <c r="G3" s="220"/>
      <c r="H3" s="220"/>
      <c r="I3" s="220"/>
      <c r="J3" s="220"/>
      <c r="K3" s="221"/>
      <c r="L3" s="222"/>
    </row>
    <row r="4" ht="15.75" customHeight="1">
      <c r="A4" s="223"/>
      <c r="B4" s="224"/>
      <c r="E4" s="223"/>
      <c r="F4" s="223"/>
      <c r="G4" s="223"/>
      <c r="H4" s="223"/>
      <c r="I4" s="223"/>
      <c r="J4" s="223"/>
      <c r="K4" s="225"/>
      <c r="L4" s="226"/>
    </row>
    <row r="5" ht="15.75" customHeight="1">
      <c r="A5" s="223"/>
      <c r="B5" s="227"/>
      <c r="E5" s="223"/>
      <c r="F5" s="223"/>
      <c r="G5" s="223"/>
      <c r="H5" s="223"/>
      <c r="I5" s="223"/>
      <c r="J5" s="223"/>
      <c r="K5" s="225"/>
      <c r="L5" s="226"/>
    </row>
    <row r="6" ht="15.75" customHeight="1">
      <c r="A6" s="228"/>
      <c r="B6" s="229"/>
      <c r="E6" s="228"/>
      <c r="F6" s="228"/>
      <c r="G6" s="228"/>
      <c r="H6" s="228"/>
      <c r="I6" s="228"/>
      <c r="J6" s="228"/>
      <c r="K6" s="230"/>
      <c r="L6" s="230"/>
    </row>
    <row r="7" ht="18.0" customHeight="1">
      <c r="A7" s="231"/>
      <c r="B7" s="223"/>
      <c r="C7" s="223"/>
      <c r="D7" s="223"/>
      <c r="E7" s="223"/>
      <c r="F7" s="223"/>
      <c r="G7" s="223"/>
      <c r="H7" s="223"/>
      <c r="I7" s="223"/>
      <c r="J7" s="223"/>
      <c r="K7" s="225"/>
      <c r="L7" s="232"/>
    </row>
    <row r="8" ht="19.5" customHeight="1">
      <c r="A8" s="233"/>
      <c r="B8" s="234" t="s">
        <v>188</v>
      </c>
      <c r="E8" s="235"/>
      <c r="F8" s="236"/>
      <c r="G8" s="236"/>
      <c r="H8" s="236"/>
      <c r="I8" s="236"/>
      <c r="J8" s="236"/>
      <c r="K8" s="236"/>
      <c r="L8" s="233"/>
    </row>
    <row r="9" ht="1.5" customHeight="1">
      <c r="A9" s="223"/>
      <c r="B9" s="237"/>
      <c r="C9" s="238"/>
      <c r="D9" s="237"/>
      <c r="E9" s="238"/>
      <c r="F9" s="237"/>
      <c r="G9" s="237"/>
      <c r="H9" s="237"/>
      <c r="I9" s="237"/>
      <c r="J9" s="237"/>
      <c r="K9" s="237"/>
      <c r="L9" s="223"/>
    </row>
    <row r="10" ht="15.75" customHeight="1">
      <c r="A10" s="239"/>
      <c r="B10" s="240"/>
      <c r="C10" s="240"/>
      <c r="D10" s="240"/>
      <c r="E10" s="239"/>
      <c r="F10" s="240"/>
      <c r="G10" s="240"/>
      <c r="H10" s="240"/>
      <c r="I10" s="240"/>
      <c r="J10" s="240"/>
      <c r="K10" s="240"/>
      <c r="L10" s="239"/>
    </row>
    <row r="11" ht="19.5" customHeight="1">
      <c r="A11" s="241"/>
      <c r="B11" s="242"/>
      <c r="C11" s="405" t="s">
        <v>60</v>
      </c>
      <c r="D11" s="406" t="s">
        <v>61</v>
      </c>
      <c r="E11" s="406" t="s">
        <v>62</v>
      </c>
      <c r="F11" s="405" t="s">
        <v>63</v>
      </c>
      <c r="G11" s="405" t="s">
        <v>64</v>
      </c>
      <c r="H11" s="405" t="s">
        <v>65</v>
      </c>
      <c r="I11" s="405" t="s">
        <v>66</v>
      </c>
      <c r="J11" s="405" t="s">
        <v>67</v>
      </c>
      <c r="K11" s="407" t="s">
        <v>68</v>
      </c>
      <c r="L11" s="241"/>
    </row>
    <row r="12">
      <c r="A12" s="248"/>
      <c r="B12" s="249" t="s">
        <v>69</v>
      </c>
      <c r="C12" s="408"/>
      <c r="D12" s="250"/>
      <c r="E12" s="250"/>
      <c r="F12" s="250"/>
      <c r="G12" s="250"/>
      <c r="H12" s="250"/>
      <c r="I12" s="250"/>
      <c r="J12" s="250"/>
      <c r="K12" s="409"/>
      <c r="L12" s="248"/>
    </row>
    <row r="13" ht="21.0" customHeight="1">
      <c r="A13" s="228"/>
      <c r="B13" s="410" t="s">
        <v>74</v>
      </c>
      <c r="C13" s="411">
        <f>SUM('Time Sheet'!C13:F13)*$D$57</f>
        <v>0</v>
      </c>
      <c r="D13" s="411">
        <f>SUM('Time Sheet'!G13:J13)*$D$57</f>
        <v>0</v>
      </c>
      <c r="E13" s="411">
        <f>SUM('Time Sheet'!K13:N13)*$D$57</f>
        <v>0</v>
      </c>
      <c r="F13" s="411">
        <f>SUM('Time Sheet'!O13:R13)*$D$57</f>
        <v>0</v>
      </c>
      <c r="G13" s="411">
        <f>SUM('Time Sheet'!S13:V13)*$D$57</f>
        <v>0</v>
      </c>
      <c r="H13" s="411">
        <f>SUM('Time Sheet'!W13:Z13)*$D$58</f>
        <v>0</v>
      </c>
      <c r="I13" s="411">
        <f>SUM('Time Sheet'!AA13:AD13)*$D$57</f>
        <v>12.5</v>
      </c>
      <c r="J13" s="411">
        <f>SUM('Time Sheet'!AE13:AH13)*$D$57</f>
        <v>0</v>
      </c>
      <c r="K13" s="412">
        <f t="shared" ref="K13:K27" si="1">C13+D13+E13+F13+G13+H13+I13+J13</f>
        <v>12.5</v>
      </c>
      <c r="L13" s="228"/>
    </row>
    <row r="14" ht="21.0" customHeight="1">
      <c r="A14" s="230"/>
      <c r="B14" s="262" t="s">
        <v>75</v>
      </c>
      <c r="C14" s="413">
        <f>SUM('Time Sheet'!C14:F14)*$D$57</f>
        <v>12.5</v>
      </c>
      <c r="D14" s="413">
        <f>SUM('Time Sheet'!G14:J14)*$D$57</f>
        <v>12.5</v>
      </c>
      <c r="E14" s="413">
        <f>SUM('Time Sheet'!K14:N14)*$D$57</f>
        <v>12.5</v>
      </c>
      <c r="F14" s="413">
        <f>SUM('Time Sheet'!O14:R14)*$D$57</f>
        <v>0</v>
      </c>
      <c r="G14" s="413">
        <f>SUM('Time Sheet'!S14:V14)*$D$57</f>
        <v>12.5</v>
      </c>
      <c r="H14" s="413">
        <f>SUM('Time Sheet'!W14:Z14)*$D$58</f>
        <v>0</v>
      </c>
      <c r="I14" s="413">
        <f>SUM('Time Sheet'!AA14:AD14)*$D$57</f>
        <v>12.5</v>
      </c>
      <c r="J14" s="413">
        <f>SUM('Time Sheet'!AE14:AH14)*$D$57</f>
        <v>0</v>
      </c>
      <c r="K14" s="412">
        <f t="shared" si="1"/>
        <v>62.5</v>
      </c>
      <c r="L14" s="230"/>
    </row>
    <row r="15" ht="21.0" customHeight="1">
      <c r="A15" s="230"/>
      <c r="B15" s="262" t="s">
        <v>76</v>
      </c>
      <c r="C15" s="413">
        <f>SUM('Time Sheet'!C15:F15)*$D$57</f>
        <v>25</v>
      </c>
      <c r="D15" s="413">
        <f>SUM('Time Sheet'!G15:J15)*$D$57</f>
        <v>12.5</v>
      </c>
      <c r="E15" s="413">
        <f>SUM('Time Sheet'!K15:N15)*$D$57</f>
        <v>25</v>
      </c>
      <c r="F15" s="413">
        <f>SUM('Time Sheet'!O15:R15)*$D$57</f>
        <v>12.5</v>
      </c>
      <c r="G15" s="413">
        <f>SUM('Time Sheet'!S15:V15)*$D$57</f>
        <v>25</v>
      </c>
      <c r="H15" s="413">
        <f>SUM('Time Sheet'!W15:Z15)*$D$58</f>
        <v>0</v>
      </c>
      <c r="I15" s="413">
        <f>SUM('Time Sheet'!AA15:AD15)*$D$57</f>
        <v>12.5</v>
      </c>
      <c r="J15" s="413">
        <f>SUM('Time Sheet'!AE15:AH15)*$D$57</f>
        <v>12.5</v>
      </c>
      <c r="K15" s="412">
        <f t="shared" si="1"/>
        <v>125</v>
      </c>
      <c r="L15" s="230"/>
    </row>
    <row r="16" ht="21.0" customHeight="1">
      <c r="A16" s="230"/>
      <c r="B16" s="262" t="s">
        <v>77</v>
      </c>
      <c r="C16" s="413">
        <f>SUM('Time Sheet'!C16:F16)*$D$57</f>
        <v>12.5</v>
      </c>
      <c r="D16" s="413">
        <f>SUM('Time Sheet'!G16:J16)*$D$57</f>
        <v>25</v>
      </c>
      <c r="E16" s="413">
        <f>SUM('Time Sheet'!K16:N16)*$D$57</f>
        <v>37.5</v>
      </c>
      <c r="F16" s="413">
        <f>SUM('Time Sheet'!O16:R16)*$D$57</f>
        <v>0</v>
      </c>
      <c r="G16" s="413">
        <f>SUM('Time Sheet'!S16:V16)*$D$57</f>
        <v>37.5</v>
      </c>
      <c r="H16" s="413">
        <f>SUM('Time Sheet'!W16:Z16)*$D$58</f>
        <v>0</v>
      </c>
      <c r="I16" s="413">
        <f>SUM('Time Sheet'!AA16:AD16)*$D$57</f>
        <v>12.5</v>
      </c>
      <c r="J16" s="413">
        <f>SUM('Time Sheet'!AE16:AH16)*$D$57</f>
        <v>0</v>
      </c>
      <c r="K16" s="412">
        <f t="shared" si="1"/>
        <v>125</v>
      </c>
      <c r="L16" s="230"/>
    </row>
    <row r="17" ht="21.75" customHeight="1">
      <c r="A17" s="261"/>
      <c r="B17" s="262" t="s">
        <v>78</v>
      </c>
      <c r="C17" s="413">
        <f>SUM('Time Sheet'!C17:F17)*$D$57</f>
        <v>12.5</v>
      </c>
      <c r="D17" s="413">
        <f>SUM('Time Sheet'!G17:J17)*$D$57</f>
        <v>12.5</v>
      </c>
      <c r="E17" s="413">
        <f>SUM('Time Sheet'!K17:N17)*$D$57</f>
        <v>12.5</v>
      </c>
      <c r="F17" s="413">
        <f>SUM('Time Sheet'!O17:R17)*$D$57</f>
        <v>0</v>
      </c>
      <c r="G17" s="413">
        <f>SUM('Time Sheet'!S17:V17)*$D$57</f>
        <v>12.5</v>
      </c>
      <c r="H17" s="413">
        <f>SUM('Time Sheet'!W17:Z17)*$D$58</f>
        <v>0</v>
      </c>
      <c r="I17" s="413">
        <f>SUM('Time Sheet'!AA17:AD17)*$D$57</f>
        <v>12.5</v>
      </c>
      <c r="J17" s="413">
        <f>SUM('Time Sheet'!AE17:AH17)*$D$57</f>
        <v>0</v>
      </c>
      <c r="K17" s="412">
        <f t="shared" si="1"/>
        <v>62.5</v>
      </c>
      <c r="L17" s="261"/>
    </row>
    <row r="18" ht="21.75" customHeight="1">
      <c r="A18" s="261"/>
      <c r="B18" s="262" t="s">
        <v>79</v>
      </c>
      <c r="C18" s="413">
        <f>SUM('Time Sheet'!C18:F18)*$D$57</f>
        <v>12.5</v>
      </c>
      <c r="D18" s="413">
        <f>SUM('Time Sheet'!G18:J18)*$D$57</f>
        <v>12.5</v>
      </c>
      <c r="E18" s="413">
        <f>SUM('Time Sheet'!K18:N18)*$D$57</f>
        <v>12.5</v>
      </c>
      <c r="F18" s="413">
        <f>SUM('Time Sheet'!O18:R18)*$D$57</f>
        <v>0</v>
      </c>
      <c r="G18" s="413">
        <f>SUM('Time Sheet'!S18:V18)*$D$57</f>
        <v>12.5</v>
      </c>
      <c r="H18" s="413">
        <f>SUM('Time Sheet'!W18:Z18)*$D$58</f>
        <v>0</v>
      </c>
      <c r="I18" s="413">
        <f>SUM('Time Sheet'!AA18:AD18)*$D$57</f>
        <v>12.5</v>
      </c>
      <c r="J18" s="413">
        <f>SUM('Time Sheet'!AE18:AH18)*$D$57</f>
        <v>0</v>
      </c>
      <c r="K18" s="412">
        <f t="shared" si="1"/>
        <v>62.5</v>
      </c>
      <c r="L18" s="261"/>
    </row>
    <row r="19" ht="21.75" customHeight="1">
      <c r="A19" s="261"/>
      <c r="B19" s="262" t="s">
        <v>80</v>
      </c>
      <c r="C19" s="413">
        <f>SUM('Time Sheet'!C19:F19)*$D$57</f>
        <v>12.5</v>
      </c>
      <c r="D19" s="413">
        <f>SUM('Time Sheet'!G19:J19)*$D$57</f>
        <v>12.5</v>
      </c>
      <c r="E19" s="413">
        <f>SUM('Time Sheet'!K19:N19)*$D$57</f>
        <v>12.5</v>
      </c>
      <c r="F19" s="413">
        <f>SUM('Time Sheet'!O19:R19)*$D$57</f>
        <v>0</v>
      </c>
      <c r="G19" s="413">
        <f>SUM('Time Sheet'!S19:V19)*$D$57</f>
        <v>12.5</v>
      </c>
      <c r="H19" s="413">
        <f>SUM('Time Sheet'!W19:Z19)*$D$58</f>
        <v>0</v>
      </c>
      <c r="I19" s="413">
        <f>SUM('Time Sheet'!AA19:AD19)*$D$57</f>
        <v>12.5</v>
      </c>
      <c r="J19" s="413">
        <f>SUM('Time Sheet'!AE19:AH19)*$D$57</f>
        <v>0</v>
      </c>
      <c r="K19" s="412">
        <f t="shared" si="1"/>
        <v>62.5</v>
      </c>
      <c r="L19" s="261"/>
    </row>
    <row r="20" ht="21.75" customHeight="1">
      <c r="A20" s="261"/>
      <c r="B20" s="262" t="s">
        <v>81</v>
      </c>
      <c r="C20" s="413">
        <f>SUM('Time Sheet'!C20:F20)*$D$57</f>
        <v>12.5</v>
      </c>
      <c r="D20" s="413">
        <f>SUM('Time Sheet'!G20:J20)*$D$57</f>
        <v>12.5</v>
      </c>
      <c r="E20" s="413">
        <f>SUM('Time Sheet'!K20:N20)*$D$57</f>
        <v>12.5</v>
      </c>
      <c r="F20" s="413">
        <f>SUM('Time Sheet'!O20:R20)*$D$57</f>
        <v>0</v>
      </c>
      <c r="G20" s="413">
        <f>SUM('Time Sheet'!S20:V20)*$D$57</f>
        <v>12.5</v>
      </c>
      <c r="H20" s="413">
        <f>SUM('Time Sheet'!W20:Z20)*$D$58</f>
        <v>0</v>
      </c>
      <c r="I20" s="413">
        <f>SUM('Time Sheet'!AA20:AD20)*$D$57</f>
        <v>12.5</v>
      </c>
      <c r="J20" s="413">
        <f>SUM('Time Sheet'!AE20:AH20)*$D$57</f>
        <v>0</v>
      </c>
      <c r="K20" s="412">
        <f t="shared" si="1"/>
        <v>62.5</v>
      </c>
      <c r="L20" s="261"/>
    </row>
    <row r="21" ht="21.75" customHeight="1">
      <c r="A21" s="261"/>
      <c r="B21" s="262" t="s">
        <v>82</v>
      </c>
      <c r="C21" s="413">
        <f>SUM('Time Sheet'!C21:F21)*$D$57</f>
        <v>12.5</v>
      </c>
      <c r="D21" s="413">
        <f>SUM('Time Sheet'!G21:J21)*$D$57</f>
        <v>37.5</v>
      </c>
      <c r="E21" s="413">
        <f>SUM('Time Sheet'!K21:N21)*$D$57</f>
        <v>25</v>
      </c>
      <c r="F21" s="413">
        <f>SUM('Time Sheet'!O21:R21)*$D$57</f>
        <v>0</v>
      </c>
      <c r="G21" s="413">
        <f>SUM('Time Sheet'!S21:V21)*$D$57</f>
        <v>12.5</v>
      </c>
      <c r="H21" s="413">
        <f>SUM('Time Sheet'!W21:Z21)*$D$58</f>
        <v>0</v>
      </c>
      <c r="I21" s="413">
        <f>SUM('Time Sheet'!AA21:AD21)*$D$57</f>
        <v>12.5</v>
      </c>
      <c r="J21" s="413">
        <f>SUM('Time Sheet'!AE21:AH21)*$D$57</f>
        <v>0</v>
      </c>
      <c r="K21" s="412">
        <f t="shared" si="1"/>
        <v>100</v>
      </c>
      <c r="L21" s="261"/>
    </row>
    <row r="22" ht="21.75" customHeight="1">
      <c r="A22" s="261"/>
      <c r="B22" s="262" t="s">
        <v>83</v>
      </c>
      <c r="C22" s="413">
        <f>SUM('Time Sheet'!C22:F22)*$D$57</f>
        <v>12.5</v>
      </c>
      <c r="D22" s="413">
        <f>SUM('Time Sheet'!G22:J22)*$D$57</f>
        <v>25</v>
      </c>
      <c r="E22" s="413">
        <f>SUM('Time Sheet'!K22:N22)*$D$57</f>
        <v>25</v>
      </c>
      <c r="F22" s="413">
        <f>SUM('Time Sheet'!O22:R22)*$D$57</f>
        <v>0</v>
      </c>
      <c r="G22" s="413">
        <f>SUM('Time Sheet'!S22:V22)*$D$57</f>
        <v>12.5</v>
      </c>
      <c r="H22" s="413">
        <f>SUM('Time Sheet'!W22:Z22)*$D$58</f>
        <v>0</v>
      </c>
      <c r="I22" s="413">
        <f>SUM('Time Sheet'!AA22:AD22)*$D$57</f>
        <v>12.5</v>
      </c>
      <c r="J22" s="413">
        <f>SUM('Time Sheet'!AE22:AH22)*$D$57</f>
        <v>0</v>
      </c>
      <c r="K22" s="412">
        <f t="shared" si="1"/>
        <v>87.5</v>
      </c>
      <c r="L22" s="261"/>
    </row>
    <row r="23" ht="21.75" customHeight="1">
      <c r="A23" s="261"/>
      <c r="B23" s="262" t="s">
        <v>84</v>
      </c>
      <c r="C23" s="413">
        <f>SUM('Time Sheet'!C23:F23)*$D$57</f>
        <v>0</v>
      </c>
      <c r="D23" s="413">
        <f>SUM('Time Sheet'!G23:J23)*$D$57</f>
        <v>0</v>
      </c>
      <c r="E23" s="413">
        <f>SUM('Time Sheet'!K23:N23)*$D$57</f>
        <v>0</v>
      </c>
      <c r="F23" s="413">
        <f>SUM('Time Sheet'!O23:R23)*$D$57</f>
        <v>0</v>
      </c>
      <c r="G23" s="413">
        <f>SUM('Time Sheet'!S23:V23)*$D$57</f>
        <v>0</v>
      </c>
      <c r="H23" s="413">
        <f>SUM('Time Sheet'!W23:Z23)*$D$58</f>
        <v>0</v>
      </c>
      <c r="I23" s="413">
        <f>SUM('Time Sheet'!AA23:AD23)*$D$57</f>
        <v>0</v>
      </c>
      <c r="J23" s="413">
        <f>SUM('Time Sheet'!AE23:AH23)*$D$57</f>
        <v>0</v>
      </c>
      <c r="K23" s="412">
        <f t="shared" si="1"/>
        <v>0</v>
      </c>
      <c r="L23" s="261"/>
    </row>
    <row r="24" ht="21.75" customHeight="1">
      <c r="A24" s="261"/>
      <c r="B24" s="262" t="s">
        <v>85</v>
      </c>
      <c r="C24" s="413">
        <f>SUM('Time Sheet'!C24:F24)*$D$57</f>
        <v>0</v>
      </c>
      <c r="D24" s="413">
        <f>SUM('Time Sheet'!G24:J24)*$D$57</f>
        <v>0</v>
      </c>
      <c r="E24" s="413">
        <f>SUM('Time Sheet'!K24:N24)*$D$57</f>
        <v>0</v>
      </c>
      <c r="F24" s="413">
        <f>SUM('Time Sheet'!O24:R24)*$D$57</f>
        <v>0</v>
      </c>
      <c r="G24" s="413">
        <f>SUM('Time Sheet'!S24:V24)*$D$57</f>
        <v>0</v>
      </c>
      <c r="H24" s="413">
        <f>SUM('Time Sheet'!W24:Z24)*$D$58</f>
        <v>0</v>
      </c>
      <c r="I24" s="413">
        <f>SUM('Time Sheet'!AA24:AD24)*$D$57</f>
        <v>0</v>
      </c>
      <c r="J24" s="413">
        <f>SUM('Time Sheet'!AE24:AH24)*$D$57</f>
        <v>0</v>
      </c>
      <c r="K24" s="412">
        <f t="shared" si="1"/>
        <v>0</v>
      </c>
      <c r="L24" s="261"/>
    </row>
    <row r="25" ht="21.75" customHeight="1">
      <c r="A25" s="261"/>
      <c r="B25" s="262" t="s">
        <v>86</v>
      </c>
      <c r="C25" s="413">
        <f>SUM('Time Sheet'!C25:F25)*$D$57</f>
        <v>0</v>
      </c>
      <c r="D25" s="413">
        <f>SUM('Time Sheet'!G25:J25)*$D$57</f>
        <v>0</v>
      </c>
      <c r="E25" s="413">
        <f>SUM('Time Sheet'!K25:N25)*$D$57</f>
        <v>0</v>
      </c>
      <c r="F25" s="413">
        <f>SUM('Time Sheet'!O25:R25)*$D$57</f>
        <v>0</v>
      </c>
      <c r="G25" s="413">
        <f>SUM('Time Sheet'!S25:V25)*$D$57</f>
        <v>0</v>
      </c>
      <c r="H25" s="413">
        <f>SUM('Time Sheet'!W25:Z25)*$D$58</f>
        <v>0</v>
      </c>
      <c r="I25" s="413">
        <f>SUM('Time Sheet'!AA25:AD25)*$D$57</f>
        <v>0</v>
      </c>
      <c r="J25" s="413">
        <f>SUM('Time Sheet'!AE25:AH25)*$D$57</f>
        <v>0</v>
      </c>
      <c r="K25" s="412">
        <f t="shared" si="1"/>
        <v>0</v>
      </c>
      <c r="L25" s="261"/>
    </row>
    <row r="26" ht="21.75" customHeight="1">
      <c r="A26" s="261"/>
      <c r="B26" s="262" t="s">
        <v>87</v>
      </c>
      <c r="C26" s="413">
        <f>SUM('Time Sheet'!C26:F26)*$D$57</f>
        <v>0</v>
      </c>
      <c r="D26" s="413">
        <f>SUM('Time Sheet'!G26:J26)*$D$57</f>
        <v>0</v>
      </c>
      <c r="E26" s="413">
        <f>SUM('Time Sheet'!K26:N26)*$D$57</f>
        <v>0</v>
      </c>
      <c r="F26" s="413">
        <f>SUM('Time Sheet'!O26:R26)*$D$57</f>
        <v>0</v>
      </c>
      <c r="G26" s="413">
        <f>SUM('Time Sheet'!S26:V26)*$D$57</f>
        <v>0</v>
      </c>
      <c r="H26" s="413">
        <f>SUM('Time Sheet'!W26:Z26)*$D$58</f>
        <v>0</v>
      </c>
      <c r="I26" s="413">
        <f>SUM('Time Sheet'!AA26:AD26)*$D$57</f>
        <v>0</v>
      </c>
      <c r="J26" s="413">
        <f>SUM('Time Sheet'!AE26:AH26)*$D$57</f>
        <v>0</v>
      </c>
      <c r="K26" s="412">
        <f t="shared" si="1"/>
        <v>0</v>
      </c>
      <c r="L26" s="261"/>
    </row>
    <row r="27" ht="21.75" customHeight="1">
      <c r="A27" s="261"/>
      <c r="B27" s="262" t="s">
        <v>88</v>
      </c>
      <c r="C27" s="413">
        <f>SUM('Time Sheet'!C27:F27)*$D$57</f>
        <v>0</v>
      </c>
      <c r="D27" s="413">
        <f>SUM('Time Sheet'!G27:J27)*$D$57</f>
        <v>0</v>
      </c>
      <c r="E27" s="413">
        <f>SUM('Time Sheet'!K27:N27)*$D$57</f>
        <v>0</v>
      </c>
      <c r="F27" s="413">
        <f>SUM('Time Sheet'!O27:R27)*$D$57</f>
        <v>0</v>
      </c>
      <c r="G27" s="413">
        <f>SUM('Time Sheet'!S27:V27)*$D$57</f>
        <v>0</v>
      </c>
      <c r="H27" s="413">
        <f>SUM('Time Sheet'!W27:Z27)*$D$58</f>
        <v>0</v>
      </c>
      <c r="I27" s="413">
        <f>SUM('Time Sheet'!AA27:AD27)*$D$57</f>
        <v>0</v>
      </c>
      <c r="J27" s="413">
        <f>SUM('Time Sheet'!AE27:AH27)*$D$57</f>
        <v>0</v>
      </c>
      <c r="K27" s="412">
        <f t="shared" si="1"/>
        <v>0</v>
      </c>
      <c r="L27" s="261"/>
    </row>
    <row r="28" ht="21.75" customHeight="1">
      <c r="A28" s="261"/>
      <c r="B28" s="264"/>
      <c r="C28" s="267"/>
      <c r="D28" s="267"/>
      <c r="E28" s="267"/>
      <c r="F28" s="267"/>
      <c r="G28" s="267"/>
      <c r="H28" s="267"/>
      <c r="I28" s="267"/>
      <c r="J28" s="267"/>
      <c r="K28" s="414"/>
      <c r="L28" s="261"/>
    </row>
    <row r="29" ht="21.75" customHeight="1">
      <c r="A29" s="261"/>
      <c r="B29" s="262" t="s">
        <v>89</v>
      </c>
      <c r="C29" s="413">
        <f>SUM('Time Sheet'!C29:F29)*$D$57</f>
        <v>0</v>
      </c>
      <c r="D29" s="413">
        <f>SUM('Time Sheet'!G29:J29)*$D$57</f>
        <v>12.5</v>
      </c>
      <c r="E29" s="413">
        <f>SUM('Time Sheet'!K29:N29)*$D$57</f>
        <v>0</v>
      </c>
      <c r="F29" s="413">
        <f>SUM('Time Sheet'!O29:R29)*$D$57</f>
        <v>0</v>
      </c>
      <c r="G29" s="413">
        <f>SUM('Time Sheet'!S29:V29)*$D$57</f>
        <v>0</v>
      </c>
      <c r="H29" s="413">
        <f>SUM('Time Sheet'!W29:Z29)*$D$58</f>
        <v>0</v>
      </c>
      <c r="I29" s="413">
        <f>SUM('Time Sheet'!AA29:AD29)*$D$57</f>
        <v>0</v>
      </c>
      <c r="J29" s="413">
        <f>SUM('Time Sheet'!AE29:AH29)*$D$57</f>
        <v>0</v>
      </c>
      <c r="K29" s="412">
        <f t="shared" ref="K29:K42" si="2">C29+D29+E29+F29+G29+H29+I29+J29</f>
        <v>12.5</v>
      </c>
      <c r="L29" s="261"/>
    </row>
    <row r="30" ht="21.75" customHeight="1">
      <c r="A30" s="261"/>
      <c r="B30" s="262" t="s">
        <v>90</v>
      </c>
      <c r="C30" s="413">
        <f>SUM('Time Sheet'!C30:F30)*$D$57</f>
        <v>25</v>
      </c>
      <c r="D30" s="413">
        <f>SUM('Time Sheet'!G30:J30)*$D$57</f>
        <v>37.5</v>
      </c>
      <c r="E30" s="413">
        <f>SUM('Time Sheet'!K30:N30)*$D$57</f>
        <v>25</v>
      </c>
      <c r="F30" s="413">
        <f>SUM('Time Sheet'!O30:R30)*$D$57</f>
        <v>0</v>
      </c>
      <c r="G30" s="413">
        <f>SUM('Time Sheet'!S30:V30)*$D$57</f>
        <v>25</v>
      </c>
      <c r="H30" s="413">
        <f>SUM('Time Sheet'!W30:Z30)*$D$58</f>
        <v>0</v>
      </c>
      <c r="I30" s="413">
        <f>SUM('Time Sheet'!AA30:AD30)*$D$57</f>
        <v>0</v>
      </c>
      <c r="J30" s="413">
        <f>SUM('Time Sheet'!AE30:AH30)*$D$57</f>
        <v>0</v>
      </c>
      <c r="K30" s="412">
        <f t="shared" si="2"/>
        <v>112.5</v>
      </c>
      <c r="L30" s="261"/>
    </row>
    <row r="31" ht="21.75" customHeight="1">
      <c r="A31" s="261"/>
      <c r="B31" s="262" t="s">
        <v>91</v>
      </c>
      <c r="C31" s="413">
        <f>SUM('Time Sheet'!C31:F31)*$D$57</f>
        <v>25</v>
      </c>
      <c r="D31" s="413">
        <f>SUM('Time Sheet'!G31:J31)*$D$57</f>
        <v>37.5</v>
      </c>
      <c r="E31" s="413">
        <f>SUM('Time Sheet'!K31:N31)*$D$57</f>
        <v>25</v>
      </c>
      <c r="F31" s="413">
        <f>SUM('Time Sheet'!O31:R31)*$D$57</f>
        <v>0</v>
      </c>
      <c r="G31" s="413">
        <f>SUM('Time Sheet'!S31:V31)*$D$57</f>
        <v>25</v>
      </c>
      <c r="H31" s="413">
        <f>SUM('Time Sheet'!W31:Z31)*$D$58</f>
        <v>0</v>
      </c>
      <c r="I31" s="413">
        <f>SUM('Time Sheet'!AA31:AD31)*$D$57</f>
        <v>25</v>
      </c>
      <c r="J31" s="413">
        <f>SUM('Time Sheet'!AE31:AH31)*$D$57</f>
        <v>0</v>
      </c>
      <c r="K31" s="412">
        <f t="shared" si="2"/>
        <v>137.5</v>
      </c>
      <c r="L31" s="261"/>
    </row>
    <row r="32" ht="21.75" customHeight="1">
      <c r="A32" s="261"/>
      <c r="B32" s="262" t="s">
        <v>92</v>
      </c>
      <c r="C32" s="413">
        <f>SUM('Time Sheet'!C32:F32)*$D$57</f>
        <v>25</v>
      </c>
      <c r="D32" s="413">
        <f>SUM('Time Sheet'!G32:J32)*$D$57</f>
        <v>50</v>
      </c>
      <c r="E32" s="413">
        <f>SUM('Time Sheet'!K32:N32)*$D$57</f>
        <v>37.5</v>
      </c>
      <c r="F32" s="413">
        <f>SUM('Time Sheet'!O32:R32)*$D$57</f>
        <v>0</v>
      </c>
      <c r="G32" s="413">
        <f>SUM('Time Sheet'!S32:V32)*$D$57</f>
        <v>50</v>
      </c>
      <c r="H32" s="413">
        <f>SUM('Time Sheet'!W32:Z32)*$D$58</f>
        <v>0</v>
      </c>
      <c r="I32" s="413">
        <f>SUM('Time Sheet'!AA32:AD32)*$D$57</f>
        <v>12.5</v>
      </c>
      <c r="J32" s="413">
        <f>SUM('Time Sheet'!AE32:AH32)*$D$57</f>
        <v>0</v>
      </c>
      <c r="K32" s="412">
        <f t="shared" si="2"/>
        <v>175</v>
      </c>
      <c r="L32" s="261"/>
    </row>
    <row r="33" ht="21.75" customHeight="1">
      <c r="A33" s="261"/>
      <c r="B33" s="262" t="s">
        <v>93</v>
      </c>
      <c r="C33" s="413">
        <f>SUM('Time Sheet'!C33:F33)*$D$57</f>
        <v>100</v>
      </c>
      <c r="D33" s="413">
        <f>SUM('Time Sheet'!G33:J33)*$D$57</f>
        <v>75</v>
      </c>
      <c r="E33" s="413">
        <f>SUM('Time Sheet'!K33:N33)*$D$57</f>
        <v>37.5</v>
      </c>
      <c r="F33" s="413">
        <f>SUM('Time Sheet'!O33:R33)*$D$57</f>
        <v>0</v>
      </c>
      <c r="G33" s="413">
        <f>SUM('Time Sheet'!S33:V33)*$D$57</f>
        <v>50</v>
      </c>
      <c r="H33" s="413">
        <f>SUM('Time Sheet'!W33:Z33)*$D$58</f>
        <v>0</v>
      </c>
      <c r="I33" s="413">
        <f>SUM('Time Sheet'!AA33:AD33)*$D$57</f>
        <v>37.5</v>
      </c>
      <c r="J33" s="413">
        <f>SUM('Time Sheet'!AE33:AH33)*$D$57</f>
        <v>0</v>
      </c>
      <c r="K33" s="412">
        <f t="shared" si="2"/>
        <v>300</v>
      </c>
      <c r="L33" s="261"/>
    </row>
    <row r="34" ht="21.75" customHeight="1">
      <c r="A34" s="261"/>
      <c r="B34" s="262" t="s">
        <v>94</v>
      </c>
      <c r="C34" s="413">
        <f>SUM('Time Sheet'!C34:F34)*$D$57</f>
        <v>150</v>
      </c>
      <c r="D34" s="413">
        <f>SUM('Time Sheet'!G34:J34)*$D$57</f>
        <v>112.5</v>
      </c>
      <c r="E34" s="413">
        <f>SUM('Time Sheet'!K34:N34)*$D$57</f>
        <v>75</v>
      </c>
      <c r="F34" s="413">
        <f>SUM('Time Sheet'!O34:R34)*$D$57</f>
        <v>0</v>
      </c>
      <c r="G34" s="413">
        <f>SUM('Time Sheet'!S34:V34)*$D$57</f>
        <v>25</v>
      </c>
      <c r="H34" s="413">
        <f>SUM('Time Sheet'!W34:Z34)*$D$58</f>
        <v>0</v>
      </c>
      <c r="I34" s="413">
        <f>SUM('Time Sheet'!AA34:AD34)*$D$57</f>
        <v>0</v>
      </c>
      <c r="J34" s="413">
        <f>SUM('Time Sheet'!AE34:AH34)*$D$57</f>
        <v>0</v>
      </c>
      <c r="K34" s="412">
        <f t="shared" si="2"/>
        <v>362.5</v>
      </c>
      <c r="L34" s="261"/>
    </row>
    <row r="35" ht="21.75" customHeight="1">
      <c r="A35" s="261"/>
      <c r="B35" s="262" t="s">
        <v>95</v>
      </c>
      <c r="C35" s="413">
        <f>SUM('Time Sheet'!C35:F35)*$D$57</f>
        <v>62.5</v>
      </c>
      <c r="D35" s="413">
        <f>SUM('Time Sheet'!G35:J35)*$D$57</f>
        <v>50</v>
      </c>
      <c r="E35" s="413">
        <f>SUM('Time Sheet'!K35:N35)*$D$57</f>
        <v>37.5</v>
      </c>
      <c r="F35" s="413">
        <f>SUM('Time Sheet'!O35:R35)*$D$57</f>
        <v>0</v>
      </c>
      <c r="G35" s="413">
        <f>SUM('Time Sheet'!S35:V35)*$D$57</f>
        <v>50</v>
      </c>
      <c r="H35" s="413">
        <f>SUM('Time Sheet'!W35:Z35)*$D$58</f>
        <v>0</v>
      </c>
      <c r="I35" s="413">
        <f>SUM('Time Sheet'!AA35:AD35)*$D$57</f>
        <v>0</v>
      </c>
      <c r="J35" s="413">
        <f>SUM('Time Sheet'!AE35:AH35)*$D$57</f>
        <v>0</v>
      </c>
      <c r="K35" s="412">
        <f t="shared" si="2"/>
        <v>200</v>
      </c>
      <c r="L35" s="261"/>
    </row>
    <row r="36" ht="21.75" customHeight="1">
      <c r="A36" s="261"/>
      <c r="B36" s="262" t="s">
        <v>96</v>
      </c>
      <c r="C36" s="413">
        <f>SUM('Time Sheet'!C36:F36)*$D$57</f>
        <v>87.5</v>
      </c>
      <c r="D36" s="413">
        <f>SUM('Time Sheet'!G36:J36)*$D$57</f>
        <v>62.5</v>
      </c>
      <c r="E36" s="413">
        <f>SUM('Time Sheet'!K36:N36)*$D$57</f>
        <v>21.875</v>
      </c>
      <c r="F36" s="413">
        <f>SUM('Time Sheet'!O36:R36)*$D$57</f>
        <v>0</v>
      </c>
      <c r="G36" s="413">
        <f>SUM('Time Sheet'!S36:V36)*$D$57</f>
        <v>25</v>
      </c>
      <c r="H36" s="413">
        <f>SUM('Time Sheet'!W36:Z36)*$D$58</f>
        <v>0</v>
      </c>
      <c r="I36" s="413">
        <f>SUM('Time Sheet'!AA36:AD36)*$D$57</f>
        <v>25</v>
      </c>
      <c r="J36" s="413">
        <f>SUM('Time Sheet'!AE36:AH36)*$D$57</f>
        <v>0</v>
      </c>
      <c r="K36" s="412">
        <f t="shared" si="2"/>
        <v>221.875</v>
      </c>
      <c r="L36" s="261"/>
    </row>
    <row r="37" ht="21.75" customHeight="1">
      <c r="A37" s="261"/>
      <c r="B37" s="262" t="s">
        <v>97</v>
      </c>
      <c r="C37" s="413">
        <f>SUM('Time Sheet'!C37:F37)*$D$57</f>
        <v>137.5</v>
      </c>
      <c r="D37" s="413">
        <f>SUM('Time Sheet'!G37:J37)*$D$57</f>
        <v>50</v>
      </c>
      <c r="E37" s="413">
        <f>SUM('Time Sheet'!K37:N37)*$D$57</f>
        <v>25</v>
      </c>
      <c r="F37" s="413">
        <f>SUM('Time Sheet'!O37:R37)*$D$57</f>
        <v>0</v>
      </c>
      <c r="G37" s="413">
        <f>SUM('Time Sheet'!S37:V37)*$D$57</f>
        <v>62.5</v>
      </c>
      <c r="H37" s="413">
        <f>SUM('Time Sheet'!W37:Z37)*$D$58</f>
        <v>0</v>
      </c>
      <c r="I37" s="413">
        <f>SUM('Time Sheet'!AA37:AD37)*$D$57</f>
        <v>25</v>
      </c>
      <c r="J37" s="413">
        <f>SUM('Time Sheet'!AE37:AH37)*$D$57</f>
        <v>0</v>
      </c>
      <c r="K37" s="412">
        <f t="shared" si="2"/>
        <v>300</v>
      </c>
      <c r="L37" s="261"/>
    </row>
    <row r="38" ht="21.75" customHeight="1">
      <c r="A38" s="261"/>
      <c r="B38" s="262" t="s">
        <v>98</v>
      </c>
      <c r="C38" s="413">
        <f>SUM('Time Sheet'!C38:F38)*$D$57</f>
        <v>175</v>
      </c>
      <c r="D38" s="413">
        <f>SUM('Time Sheet'!G38:J38)*$D$57</f>
        <v>62.5</v>
      </c>
      <c r="E38" s="413">
        <f>SUM('Time Sheet'!K38:N38)*$D$57</f>
        <v>100</v>
      </c>
      <c r="F38" s="413">
        <f>SUM('Time Sheet'!O38:R38)*$D$57</f>
        <v>0</v>
      </c>
      <c r="G38" s="413">
        <f>SUM('Time Sheet'!S38:V38)*$D$57</f>
        <v>25</v>
      </c>
      <c r="H38" s="413">
        <f>SUM('Time Sheet'!W38:Z38)*$D$58</f>
        <v>0</v>
      </c>
      <c r="I38" s="413">
        <f>SUM('Time Sheet'!AA38:AD38)*$D$57</f>
        <v>12.5</v>
      </c>
      <c r="J38" s="413">
        <f>SUM('Time Sheet'!AE38:AH38)*$D$57</f>
        <v>0</v>
      </c>
      <c r="K38" s="412">
        <f t="shared" si="2"/>
        <v>375</v>
      </c>
      <c r="L38" s="261"/>
    </row>
    <row r="39" ht="21.75" customHeight="1">
      <c r="A39" s="261"/>
      <c r="B39" s="262" t="s">
        <v>99</v>
      </c>
      <c r="C39" s="413">
        <f>SUM('Time Sheet'!C39:F39)*$D$57</f>
        <v>125</v>
      </c>
      <c r="D39" s="413">
        <f>SUM('Time Sheet'!G39:J39)*$D$57</f>
        <v>0</v>
      </c>
      <c r="E39" s="413">
        <f>SUM('Time Sheet'!K39:N39)*$D$57</f>
        <v>0</v>
      </c>
      <c r="F39" s="413">
        <f>SUM('Time Sheet'!O39:R39)*$D$57</f>
        <v>0</v>
      </c>
      <c r="G39" s="413">
        <f>SUM('Time Sheet'!S39:V39)*$D$57</f>
        <v>0</v>
      </c>
      <c r="H39" s="413">
        <f>SUM('Time Sheet'!W39:Z39)*$D$58</f>
        <v>0</v>
      </c>
      <c r="I39" s="413">
        <f>SUM('Time Sheet'!AA39:AD39)*$D$57</f>
        <v>0</v>
      </c>
      <c r="J39" s="413">
        <f>SUM('Time Sheet'!AE39:AH39)*$D$57</f>
        <v>0</v>
      </c>
      <c r="K39" s="412">
        <f t="shared" si="2"/>
        <v>125</v>
      </c>
      <c r="L39" s="261"/>
    </row>
    <row r="40" ht="21.75" customHeight="1">
      <c r="A40" s="261"/>
      <c r="B40" s="262" t="s">
        <v>100</v>
      </c>
      <c r="C40" s="413">
        <f>SUM('Time Sheet'!C40:F40)*$D$57</f>
        <v>12.5</v>
      </c>
      <c r="D40" s="413">
        <f>SUM('Time Sheet'!G40:J40)*$D$57</f>
        <v>0</v>
      </c>
      <c r="E40" s="413">
        <f>SUM('Time Sheet'!K40:N40)*$D$57</f>
        <v>12.5</v>
      </c>
      <c r="F40" s="413">
        <f>SUM('Time Sheet'!O40:R40)*$D$57</f>
        <v>0</v>
      </c>
      <c r="G40" s="413">
        <f>SUM('Time Sheet'!S40:V40)*$D$57</f>
        <v>0</v>
      </c>
      <c r="H40" s="413">
        <f>SUM('Time Sheet'!W40:Z40)*$D$58</f>
        <v>0</v>
      </c>
      <c r="I40" s="413">
        <f>SUM('Time Sheet'!AA40:AD40)*$D$57</f>
        <v>0</v>
      </c>
      <c r="J40" s="413">
        <f>SUM('Time Sheet'!AE40:AH40)*$D$57</f>
        <v>0</v>
      </c>
      <c r="K40" s="412">
        <f t="shared" si="2"/>
        <v>25</v>
      </c>
      <c r="L40" s="261"/>
    </row>
    <row r="41" ht="21.75" customHeight="1">
      <c r="A41" s="261"/>
      <c r="B41" s="262" t="s">
        <v>101</v>
      </c>
      <c r="C41" s="413">
        <f>SUM('Time Sheet'!C41:F41)*$D$57</f>
        <v>12.5</v>
      </c>
      <c r="D41" s="413">
        <f>SUM('Time Sheet'!G41:J41)*$D$57</f>
        <v>87.5</v>
      </c>
      <c r="E41" s="413">
        <f>SUM('Time Sheet'!K41:N41)*$D$57</f>
        <v>100</v>
      </c>
      <c r="F41" s="413">
        <f>SUM('Time Sheet'!O41:R41)*$D$57</f>
        <v>0</v>
      </c>
      <c r="G41" s="413">
        <f>SUM('Time Sheet'!S41:V41)*$D$57</f>
        <v>0</v>
      </c>
      <c r="H41" s="413">
        <f>SUM('Time Sheet'!W41:Z41)*$D$58</f>
        <v>0</v>
      </c>
      <c r="I41" s="413">
        <f>SUM('Time Sheet'!AA41:AD41)*$D$57</f>
        <v>0</v>
      </c>
      <c r="J41" s="413">
        <f>SUM('Time Sheet'!AE41:AH41)*$D$57</f>
        <v>0</v>
      </c>
      <c r="K41" s="412">
        <f t="shared" si="2"/>
        <v>200</v>
      </c>
      <c r="L41" s="261"/>
    </row>
    <row r="42" ht="21.75" customHeight="1">
      <c r="A42" s="261"/>
      <c r="B42" s="262" t="s">
        <v>102</v>
      </c>
      <c r="C42" s="413">
        <f>SUM('Time Sheet'!C42:F42)*$D$57</f>
        <v>125</v>
      </c>
      <c r="D42" s="413">
        <f>SUM('Time Sheet'!G42:J42)*$D$57</f>
        <v>212.5</v>
      </c>
      <c r="E42" s="413">
        <f>SUM('Time Sheet'!K42:N42)*$D$57</f>
        <v>62.5</v>
      </c>
      <c r="F42" s="413">
        <f>SUM('Time Sheet'!O42:R42)*$D$57</f>
        <v>0</v>
      </c>
      <c r="G42" s="413">
        <f>SUM('Time Sheet'!S42:V42)*$D$57</f>
        <v>0</v>
      </c>
      <c r="H42" s="413">
        <f>SUM('Time Sheet'!W42:Z42)*$D$58</f>
        <v>0</v>
      </c>
      <c r="I42" s="413">
        <f>SUM('Time Sheet'!AA42:AD42)*$D$57</f>
        <v>0</v>
      </c>
      <c r="J42" s="413">
        <f>SUM('Time Sheet'!AE42:AH42)*$D$57</f>
        <v>0</v>
      </c>
      <c r="K42" s="412">
        <f t="shared" si="2"/>
        <v>400</v>
      </c>
      <c r="L42" s="261"/>
    </row>
    <row r="43" ht="21.75" customHeight="1">
      <c r="A43" s="261"/>
      <c r="B43" s="264"/>
      <c r="C43" s="267"/>
      <c r="D43" s="267"/>
      <c r="E43" s="267"/>
      <c r="F43" s="267"/>
      <c r="G43" s="267"/>
      <c r="H43" s="267"/>
      <c r="I43" s="267"/>
      <c r="J43" s="267"/>
      <c r="K43" s="414"/>
      <c r="L43" s="261"/>
    </row>
    <row r="44" ht="21.75" customHeight="1">
      <c r="A44" s="261"/>
      <c r="B44" s="262" t="s">
        <v>103</v>
      </c>
      <c r="C44" s="413">
        <f>SUM('Time Sheet'!C44:F44)*$D$57</f>
        <v>250</v>
      </c>
      <c r="D44" s="413">
        <f>SUM('Time Sheet'!G44:J44)*$D$57</f>
        <v>125</v>
      </c>
      <c r="E44" s="413">
        <f>SUM('Time Sheet'!K44:N44)*$D$57</f>
        <v>50</v>
      </c>
      <c r="F44" s="413">
        <f>SUM('Time Sheet'!O44:R44)*$D$57</f>
        <v>0</v>
      </c>
      <c r="G44" s="413">
        <f>SUM('Time Sheet'!S44:V44)*$D$57</f>
        <v>50</v>
      </c>
      <c r="H44" s="413">
        <f>SUM('Time Sheet'!W44:Z44)*$D$58</f>
        <v>0</v>
      </c>
      <c r="I44" s="413">
        <f>SUM('Time Sheet'!AA44:AD44)*$D$57</f>
        <v>25</v>
      </c>
      <c r="J44" s="413">
        <f>SUM('Time Sheet'!AE44:AH44)*$D$57</f>
        <v>0</v>
      </c>
      <c r="K44" s="412">
        <f t="shared" ref="K44:K53" si="3">C44+D44+E44+F44+G44+H44+I44+J44</f>
        <v>500</v>
      </c>
      <c r="L44" s="261"/>
    </row>
    <row r="45" ht="21.75" customHeight="1">
      <c r="A45" s="261"/>
      <c r="B45" s="262" t="s">
        <v>104</v>
      </c>
      <c r="C45" s="413">
        <f>SUM('Time Sheet'!C45:F45)*$D$57</f>
        <v>275</v>
      </c>
      <c r="D45" s="413">
        <f>SUM('Time Sheet'!G45:J45)*$D$57</f>
        <v>12.5</v>
      </c>
      <c r="E45" s="413">
        <f>SUM('Time Sheet'!K45:N45)*$D$57</f>
        <v>62.5</v>
      </c>
      <c r="F45" s="413">
        <f>SUM('Time Sheet'!O45:R45)*$D$57</f>
        <v>0</v>
      </c>
      <c r="G45" s="413">
        <f>SUM('Time Sheet'!S45:V45)*$D$57</f>
        <v>25</v>
      </c>
      <c r="H45" s="413">
        <f>SUM('Time Sheet'!W45:Z45)*$D$58</f>
        <v>0</v>
      </c>
      <c r="I45" s="413">
        <f>SUM('Time Sheet'!AA45:AD45)*$D$57</f>
        <v>25</v>
      </c>
      <c r="J45" s="413">
        <f>SUM('Time Sheet'!AE45:AH45)*$D$57</f>
        <v>0</v>
      </c>
      <c r="K45" s="412">
        <f t="shared" si="3"/>
        <v>400</v>
      </c>
      <c r="L45" s="261"/>
    </row>
    <row r="46" ht="21.75" customHeight="1">
      <c r="A46" s="261"/>
      <c r="B46" s="262" t="s">
        <v>105</v>
      </c>
      <c r="C46" s="413">
        <f>SUM('Time Sheet'!C46:F46)*$D$57</f>
        <v>187.5</v>
      </c>
      <c r="D46" s="413">
        <f>SUM('Time Sheet'!G46:J46)*$D$57</f>
        <v>25</v>
      </c>
      <c r="E46" s="413">
        <f>SUM('Time Sheet'!K46:N46)*$D$57</f>
        <v>100</v>
      </c>
      <c r="F46" s="413">
        <f>SUM('Time Sheet'!O46:R46)*$D$57</f>
        <v>0</v>
      </c>
      <c r="G46" s="413">
        <f>SUM('Time Sheet'!S46:V46)*$D$57</f>
        <v>62.5</v>
      </c>
      <c r="H46" s="413">
        <f>SUM('Time Sheet'!W46:Z46)*$D$58</f>
        <v>0</v>
      </c>
      <c r="I46" s="413">
        <f>SUM('Time Sheet'!AA46:AD46)*$D$57</f>
        <v>50</v>
      </c>
      <c r="J46" s="413">
        <f>SUM('Time Sheet'!AE46:AH46)*$D$57</f>
        <v>0</v>
      </c>
      <c r="K46" s="412">
        <f t="shared" si="3"/>
        <v>425</v>
      </c>
      <c r="L46" s="261"/>
    </row>
    <row r="47" ht="21.75" customHeight="1">
      <c r="A47" s="261"/>
      <c r="B47" s="262" t="s">
        <v>106</v>
      </c>
      <c r="C47" s="413">
        <f>SUM('Time Sheet'!C47:F47)*$D$57</f>
        <v>137.5</v>
      </c>
      <c r="D47" s="413">
        <f>SUM('Time Sheet'!G47:J47)*$D$57</f>
        <v>43.75</v>
      </c>
      <c r="E47" s="413">
        <f>SUM('Time Sheet'!K47:N47)*$D$57</f>
        <v>100</v>
      </c>
      <c r="F47" s="413">
        <f>SUM('Time Sheet'!O47:R47)*$D$57</f>
        <v>0</v>
      </c>
      <c r="G47" s="413">
        <f>SUM('Time Sheet'!S47:V47)*$D$57</f>
        <v>37.5</v>
      </c>
      <c r="H47" s="413">
        <f>SUM('Time Sheet'!W47:Z47)*$D$58</f>
        <v>0</v>
      </c>
      <c r="I47" s="413">
        <f>SUM('Time Sheet'!AA47:AD47)*$D$57</f>
        <v>0</v>
      </c>
      <c r="J47" s="413">
        <f>SUM('Time Sheet'!AE47:AH47)*$D$57</f>
        <v>0</v>
      </c>
      <c r="K47" s="412">
        <f t="shared" si="3"/>
        <v>318.75</v>
      </c>
      <c r="L47" s="261"/>
    </row>
    <row r="48" ht="21.75" customHeight="1">
      <c r="A48" s="261"/>
      <c r="B48" s="262" t="s">
        <v>107</v>
      </c>
      <c r="C48" s="413">
        <f>SUM('Time Sheet'!C48:F48)*$D$57</f>
        <v>162.5</v>
      </c>
      <c r="D48" s="413">
        <f>SUM('Time Sheet'!G48:J48)*$D$57</f>
        <v>156.25</v>
      </c>
      <c r="E48" s="413">
        <f>SUM('Time Sheet'!K48:N48)*$D$57</f>
        <v>118.75</v>
      </c>
      <c r="F48" s="413">
        <f>SUM('Time Sheet'!O48:R48)*$D$57</f>
        <v>0</v>
      </c>
      <c r="G48" s="413">
        <f>SUM('Time Sheet'!S48:V48)*$D$57</f>
        <v>112.5</v>
      </c>
      <c r="H48" s="413">
        <f>SUM('Time Sheet'!W48:Z48)*$D$58</f>
        <v>0</v>
      </c>
      <c r="I48" s="413">
        <f>SUM('Time Sheet'!AA48:AD48)*$D$57</f>
        <v>0</v>
      </c>
      <c r="J48" s="413">
        <f>SUM('Time Sheet'!AE48:AH48)*$D$57</f>
        <v>0</v>
      </c>
      <c r="K48" s="412">
        <f t="shared" si="3"/>
        <v>550</v>
      </c>
      <c r="L48" s="261"/>
    </row>
    <row r="49" ht="21.75" customHeight="1">
      <c r="A49" s="261"/>
      <c r="B49" s="262" t="s">
        <v>108</v>
      </c>
      <c r="C49" s="413">
        <f>SUM('Time Sheet'!C49:F49)*$D$57</f>
        <v>0</v>
      </c>
      <c r="D49" s="413">
        <f>SUM('Time Sheet'!G49:J49)*$D$57</f>
        <v>143.75</v>
      </c>
      <c r="E49" s="413">
        <f>SUM('Time Sheet'!K49:N49)*$D$57</f>
        <v>200</v>
      </c>
      <c r="F49" s="413">
        <f>SUM('Time Sheet'!O49:R49)*$D$57</f>
        <v>0</v>
      </c>
      <c r="G49" s="413">
        <f>SUM('Time Sheet'!S49:V49)*$D$57</f>
        <v>93.75</v>
      </c>
      <c r="H49" s="413">
        <f>SUM('Time Sheet'!W49:Z49)*$D$58</f>
        <v>0</v>
      </c>
      <c r="I49" s="413">
        <f>SUM('Time Sheet'!AA49:AD49)*$D$57</f>
        <v>0</v>
      </c>
      <c r="J49" s="413">
        <f>SUM('Time Sheet'!AE49:AH49)*$D$57</f>
        <v>0</v>
      </c>
      <c r="K49" s="412">
        <f t="shared" si="3"/>
        <v>437.5</v>
      </c>
      <c r="L49" s="261"/>
    </row>
    <row r="50" ht="21.75" customHeight="1">
      <c r="A50" s="261"/>
      <c r="B50" s="262" t="s">
        <v>109</v>
      </c>
      <c r="C50" s="413">
        <f>SUM('Time Sheet'!C50:F50)*$D$57</f>
        <v>0</v>
      </c>
      <c r="D50" s="413">
        <f>SUM('Time Sheet'!G50:J50)*$D$57</f>
        <v>0</v>
      </c>
      <c r="E50" s="413">
        <f>SUM('Time Sheet'!K50:N50)*$D$57</f>
        <v>0</v>
      </c>
      <c r="F50" s="413">
        <f>SUM('Time Sheet'!O50:R50)*$D$57</f>
        <v>0</v>
      </c>
      <c r="G50" s="413">
        <f>SUM('Time Sheet'!S50:V50)*$D$57</f>
        <v>0</v>
      </c>
      <c r="H50" s="413">
        <f>SUM('Time Sheet'!W50:Z50)*$D$58</f>
        <v>0</v>
      </c>
      <c r="I50" s="413">
        <f>SUM('Time Sheet'!AA50:AD50)*$D$57</f>
        <v>0</v>
      </c>
      <c r="J50" s="413">
        <f>SUM('Time Sheet'!AE50:AH50)*$D$57</f>
        <v>0</v>
      </c>
      <c r="K50" s="412">
        <f t="shared" si="3"/>
        <v>0</v>
      </c>
      <c r="L50" s="261"/>
    </row>
    <row r="51" ht="21.75" customHeight="1">
      <c r="A51" s="261"/>
      <c r="B51" s="262" t="s">
        <v>110</v>
      </c>
      <c r="C51" s="413">
        <f>SUM('Time Sheet'!C51:F51)*$D$57</f>
        <v>0</v>
      </c>
      <c r="D51" s="413">
        <f>SUM('Time Sheet'!G51:J51)*$D$57</f>
        <v>0</v>
      </c>
      <c r="E51" s="413">
        <f>SUM('Time Sheet'!K51:N51)*$D$57</f>
        <v>0</v>
      </c>
      <c r="F51" s="413">
        <f>SUM('Time Sheet'!O51:R51)*$D$57</f>
        <v>0</v>
      </c>
      <c r="G51" s="413">
        <f>SUM('Time Sheet'!S51:V51)*$D$57</f>
        <v>0</v>
      </c>
      <c r="H51" s="413">
        <f>SUM('Time Sheet'!W51:Z51)*$D$58</f>
        <v>0</v>
      </c>
      <c r="I51" s="413">
        <f>SUM('Time Sheet'!AA51:AD51)*$D$57</f>
        <v>0</v>
      </c>
      <c r="J51" s="413">
        <f>SUM('Time Sheet'!AE51:AH51)*$D$57</f>
        <v>0</v>
      </c>
      <c r="K51" s="412">
        <f t="shared" si="3"/>
        <v>0</v>
      </c>
      <c r="L51" s="261"/>
    </row>
    <row r="52" ht="21.75" customHeight="1">
      <c r="A52" s="261"/>
      <c r="B52" s="262" t="s">
        <v>111</v>
      </c>
      <c r="C52" s="413">
        <f>SUM('Time Sheet'!C52:F52)*$D$57</f>
        <v>0</v>
      </c>
      <c r="D52" s="413">
        <f>SUM('Time Sheet'!G52:J52)*$D$57</f>
        <v>0</v>
      </c>
      <c r="E52" s="413">
        <f>SUM('Time Sheet'!K52:N52)*$D$57</f>
        <v>0</v>
      </c>
      <c r="F52" s="413">
        <f>SUM('Time Sheet'!O52:R52)*$D$57</f>
        <v>0</v>
      </c>
      <c r="G52" s="413">
        <f>SUM('Time Sheet'!S52:V52)*$D$57</f>
        <v>0</v>
      </c>
      <c r="H52" s="413">
        <f>SUM('Time Sheet'!W52:Z52)*$D$58</f>
        <v>0</v>
      </c>
      <c r="I52" s="413">
        <f>SUM('Time Sheet'!AA52:AD52)*$D$57</f>
        <v>0</v>
      </c>
      <c r="J52" s="413">
        <f>SUM('Time Sheet'!AE52:AH52)*$D$57</f>
        <v>0</v>
      </c>
      <c r="K52" s="412">
        <f t="shared" si="3"/>
        <v>0</v>
      </c>
      <c r="L52" s="261"/>
    </row>
    <row r="53" ht="21.75" customHeight="1">
      <c r="A53" s="261"/>
      <c r="B53" s="262" t="s">
        <v>112</v>
      </c>
      <c r="C53" s="413">
        <f>SUM('Time Sheet'!C53:F53)*$D$57</f>
        <v>0</v>
      </c>
      <c r="D53" s="413">
        <f>SUM('Time Sheet'!G53:J53)*$D$57</f>
        <v>0</v>
      </c>
      <c r="E53" s="413">
        <f>SUM('Time Sheet'!K53:N53)*$D$57</f>
        <v>0</v>
      </c>
      <c r="F53" s="413">
        <f>SUM('Time Sheet'!O53:R53)*$D$57</f>
        <v>0</v>
      </c>
      <c r="G53" s="413">
        <f>SUM('Time Sheet'!S53:V53)*$D$57</f>
        <v>0</v>
      </c>
      <c r="H53" s="413">
        <f>SUM('Time Sheet'!W53:Z53)*$D$58</f>
        <v>0</v>
      </c>
      <c r="I53" s="413">
        <f>SUM('Time Sheet'!AA53:AD53)*$D$57</f>
        <v>0</v>
      </c>
      <c r="J53" s="413">
        <f>SUM('Time Sheet'!AE53:AH53)*$D$57</f>
        <v>0</v>
      </c>
      <c r="K53" s="412">
        <f t="shared" si="3"/>
        <v>0</v>
      </c>
      <c r="L53" s="261"/>
    </row>
    <row r="54" ht="21.75" customHeight="1">
      <c r="A54" s="261"/>
      <c r="B54" s="264"/>
      <c r="C54" s="269"/>
      <c r="D54" s="271"/>
      <c r="E54" s="271"/>
      <c r="F54" s="271"/>
      <c r="G54" s="271"/>
      <c r="H54" s="271"/>
      <c r="I54" s="271"/>
      <c r="J54" s="271"/>
      <c r="K54" s="415"/>
      <c r="L54" s="261"/>
    </row>
    <row r="55" ht="21.0" customHeight="1">
      <c r="A55" s="273"/>
      <c r="B55" s="274" t="s">
        <v>113</v>
      </c>
      <c r="C55" s="275">
        <f t="shared" ref="C55:K55" si="4">sum(C13:C54)</f>
        <v>2200</v>
      </c>
      <c r="D55" s="275">
        <f t="shared" si="4"/>
        <v>1518.75</v>
      </c>
      <c r="E55" s="275">
        <f t="shared" si="4"/>
        <v>1365.625</v>
      </c>
      <c r="F55" s="275">
        <f t="shared" si="4"/>
        <v>12.5</v>
      </c>
      <c r="G55" s="275">
        <f t="shared" si="4"/>
        <v>868.75</v>
      </c>
      <c r="H55" s="275">
        <f t="shared" si="4"/>
        <v>0</v>
      </c>
      <c r="I55" s="275">
        <f t="shared" si="4"/>
        <v>362.5</v>
      </c>
      <c r="J55" s="275">
        <f t="shared" si="4"/>
        <v>12.5</v>
      </c>
      <c r="K55" s="416">
        <f t="shared" si="4"/>
        <v>6340.625</v>
      </c>
      <c r="L55" s="273"/>
    </row>
    <row r="56" ht="21.0" customHeight="1">
      <c r="A56" s="273"/>
      <c r="B56" s="284"/>
      <c r="C56" s="273"/>
      <c r="D56" s="273"/>
      <c r="E56" s="273"/>
      <c r="F56" s="285"/>
      <c r="G56" s="285"/>
      <c r="H56" s="285"/>
      <c r="I56" s="285"/>
      <c r="J56" s="285"/>
      <c r="K56" s="286"/>
      <c r="L56" s="273"/>
    </row>
    <row r="57" ht="30.0" customHeight="1">
      <c r="A57" s="287"/>
      <c r="B57" s="288"/>
      <c r="C57" s="417" t="s">
        <v>189</v>
      </c>
      <c r="D57" s="418">
        <v>12.5</v>
      </c>
      <c r="E57" s="287"/>
      <c r="F57" s="289"/>
      <c r="L57" s="287"/>
    </row>
    <row r="58" ht="19.5" customHeight="1">
      <c r="A58" s="261"/>
      <c r="B58" s="236"/>
      <c r="C58" s="261"/>
      <c r="D58" s="261"/>
      <c r="E58" s="261"/>
      <c r="F58" s="261"/>
      <c r="G58" s="261"/>
      <c r="H58" s="261"/>
      <c r="I58" s="261"/>
      <c r="J58" s="261"/>
      <c r="K58" s="261"/>
      <c r="L58" s="261"/>
    </row>
  </sheetData>
  <mergeCells count="5">
    <mergeCell ref="B4:D4"/>
    <mergeCell ref="B5:D5"/>
    <mergeCell ref="B6:D6"/>
    <mergeCell ref="B8:D8"/>
    <mergeCell ref="F57:K57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>
    <row r="1">
      <c r="A1" s="419"/>
      <c r="B1" s="420" t="s">
        <v>10</v>
      </c>
      <c r="P1" s="41"/>
      <c r="Q1" s="420" t="s">
        <v>11</v>
      </c>
      <c r="AD1" s="41"/>
      <c r="AE1" s="420" t="s">
        <v>12</v>
      </c>
      <c r="AN1" s="41"/>
      <c r="AO1" s="421"/>
      <c r="AP1" s="422"/>
      <c r="AQ1" s="422"/>
      <c r="AR1" s="422"/>
      <c r="AS1" s="422"/>
      <c r="AT1" s="422"/>
      <c r="AU1" s="422"/>
      <c r="AV1" s="422"/>
      <c r="AW1" s="422"/>
      <c r="AX1" s="422"/>
      <c r="AY1" s="422"/>
      <c r="AZ1" s="422"/>
      <c r="BA1" s="422"/>
      <c r="BB1" s="422"/>
      <c r="BC1" s="422"/>
      <c r="BD1" s="422"/>
      <c r="BE1" s="422"/>
    </row>
    <row r="2">
      <c r="A2" s="423" t="s">
        <v>14</v>
      </c>
      <c r="B2" s="424">
        <v>1.0</v>
      </c>
      <c r="C2" s="424">
        <v>2.0</v>
      </c>
      <c r="D2" s="424">
        <v>3.0</v>
      </c>
      <c r="E2" s="424">
        <v>4.0</v>
      </c>
      <c r="F2" s="424">
        <v>5.0</v>
      </c>
      <c r="G2" s="424">
        <v>6.0</v>
      </c>
      <c r="H2" s="424">
        <v>7.0</v>
      </c>
      <c r="I2" s="424">
        <v>8.0</v>
      </c>
      <c r="J2" s="424">
        <v>9.0</v>
      </c>
      <c r="K2" s="424">
        <v>10.0</v>
      </c>
      <c r="L2" s="425">
        <v>11.0</v>
      </c>
      <c r="M2" s="425">
        <v>12.0</v>
      </c>
      <c r="N2" s="425">
        <v>13.0</v>
      </c>
      <c r="O2" s="425">
        <v>14.0</v>
      </c>
      <c r="P2" s="425">
        <v>15.0</v>
      </c>
      <c r="Q2" s="424">
        <v>1.0</v>
      </c>
      <c r="R2" s="424">
        <v>2.0</v>
      </c>
      <c r="S2" s="424">
        <v>3.0</v>
      </c>
      <c r="T2" s="424">
        <v>4.0</v>
      </c>
      <c r="U2" s="424">
        <v>5.0</v>
      </c>
      <c r="V2" s="424">
        <v>6.0</v>
      </c>
      <c r="W2" s="424">
        <v>7.0</v>
      </c>
      <c r="X2" s="424">
        <v>8.0</v>
      </c>
      <c r="Y2" s="424">
        <v>9.0</v>
      </c>
      <c r="Z2" s="424">
        <v>10.0</v>
      </c>
      <c r="AA2" s="425">
        <v>11.0</v>
      </c>
      <c r="AB2" s="425">
        <v>12.0</v>
      </c>
      <c r="AC2" s="425">
        <v>13.0</v>
      </c>
      <c r="AD2" s="426">
        <v>14.0</v>
      </c>
      <c r="AE2" s="427">
        <v>1.0</v>
      </c>
      <c r="AF2" s="427">
        <v>2.0</v>
      </c>
      <c r="AG2" s="427">
        <v>3.0</v>
      </c>
      <c r="AH2" s="427">
        <v>4.0</v>
      </c>
      <c r="AI2" s="427">
        <v>5.0</v>
      </c>
      <c r="AJ2" s="427">
        <v>6.0</v>
      </c>
      <c r="AK2" s="427">
        <v>7.0</v>
      </c>
      <c r="AL2" s="427">
        <v>8.0</v>
      </c>
      <c r="AM2" s="427">
        <v>9.0</v>
      </c>
      <c r="AN2" s="427">
        <v>10.0</v>
      </c>
      <c r="AP2" s="428"/>
      <c r="AQ2" s="428"/>
      <c r="AR2" s="428"/>
      <c r="AS2" s="428"/>
      <c r="AT2" s="422"/>
      <c r="AY2" s="422"/>
      <c r="AZ2" s="422"/>
      <c r="BA2" s="422"/>
      <c r="BB2" s="422"/>
      <c r="BC2" s="422"/>
      <c r="BD2" s="422"/>
      <c r="BE2" s="422"/>
    </row>
    <row r="3">
      <c r="A3" s="429" t="s">
        <v>17</v>
      </c>
      <c r="B3" s="430">
        <v>44466.0</v>
      </c>
      <c r="C3" s="430">
        <v>44473.0</v>
      </c>
      <c r="D3" s="430">
        <v>44480.0</v>
      </c>
      <c r="E3" s="430">
        <v>44487.0</v>
      </c>
      <c r="F3" s="430">
        <v>44494.0</v>
      </c>
      <c r="G3" s="430">
        <v>44501.0</v>
      </c>
      <c r="H3" s="430">
        <v>44508.0</v>
      </c>
      <c r="I3" s="430">
        <v>44515.0</v>
      </c>
      <c r="J3" s="430">
        <v>44522.0</v>
      </c>
      <c r="K3" s="430">
        <v>44529.0</v>
      </c>
      <c r="L3" s="430">
        <v>44536.0</v>
      </c>
      <c r="M3" s="430">
        <v>44543.0</v>
      </c>
      <c r="N3" s="430">
        <v>44550.0</v>
      </c>
      <c r="O3" s="430">
        <v>44557.0</v>
      </c>
      <c r="P3" s="430">
        <v>44564.0</v>
      </c>
      <c r="Q3" s="430">
        <v>44936.0</v>
      </c>
      <c r="R3" s="430">
        <v>44943.0</v>
      </c>
      <c r="S3" s="430">
        <v>44950.0</v>
      </c>
      <c r="T3" s="431">
        <v>44592.0</v>
      </c>
      <c r="U3" s="430">
        <v>44964.0</v>
      </c>
      <c r="V3" s="430">
        <v>44971.0</v>
      </c>
      <c r="W3" s="430">
        <v>44978.0</v>
      </c>
      <c r="X3" s="430">
        <v>44985.0</v>
      </c>
      <c r="Y3" s="430">
        <v>44992.0</v>
      </c>
      <c r="Z3" s="430">
        <v>44634.0</v>
      </c>
      <c r="AA3" s="430">
        <v>45006.0</v>
      </c>
      <c r="AB3" s="430">
        <v>45013.0</v>
      </c>
      <c r="AC3" s="430">
        <v>45020.0</v>
      </c>
      <c r="AD3" s="430">
        <v>45027.0</v>
      </c>
      <c r="AE3" s="430">
        <v>45034.0</v>
      </c>
      <c r="AF3" s="430">
        <v>45041.0</v>
      </c>
      <c r="AG3" s="430">
        <v>45048.0</v>
      </c>
      <c r="AH3" s="430">
        <v>45055.0</v>
      </c>
      <c r="AI3" s="430">
        <v>45062.0</v>
      </c>
      <c r="AJ3" s="430">
        <v>45069.0</v>
      </c>
      <c r="AK3" s="430">
        <v>45076.0</v>
      </c>
      <c r="AL3" s="430">
        <v>45083.0</v>
      </c>
      <c r="AM3" s="430">
        <v>45090.0</v>
      </c>
      <c r="AN3" s="432">
        <v>45097.0</v>
      </c>
      <c r="AP3" s="422"/>
      <c r="AQ3" s="422"/>
      <c r="AR3" s="422"/>
      <c r="AS3" s="422"/>
      <c r="AT3" s="422"/>
      <c r="AU3" s="422"/>
      <c r="AV3" s="422"/>
      <c r="AW3" s="422"/>
      <c r="AX3" s="422"/>
      <c r="AY3" s="422"/>
      <c r="AZ3" s="422"/>
      <c r="BA3" s="422"/>
      <c r="BB3" s="422"/>
      <c r="BC3" s="422"/>
      <c r="BD3" s="422"/>
      <c r="BE3" s="422"/>
    </row>
    <row r="4">
      <c r="A4" s="433" t="s">
        <v>60</v>
      </c>
      <c r="B4" s="434">
        <f>Sum('Time Sheet'!$C13:$F13)*$AQ$4</f>
        <v>0</v>
      </c>
      <c r="C4" s="434">
        <f>Sum('Time Sheet'!$C14:$F14)*$AQ$4</f>
        <v>12.5</v>
      </c>
      <c r="D4" s="434">
        <f>Sum('Time Sheet'!$C15:$F15)*$AQ$4</f>
        <v>25</v>
      </c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  <c r="AE4" s="351"/>
      <c r="AF4" s="351"/>
      <c r="AG4" s="351"/>
      <c r="AH4" s="351"/>
      <c r="AI4" s="351"/>
      <c r="AJ4" s="351"/>
      <c r="AK4" s="351"/>
      <c r="AL4" s="351"/>
      <c r="AM4" s="351"/>
      <c r="AN4" s="351"/>
      <c r="AP4" s="304" t="s">
        <v>190</v>
      </c>
      <c r="AQ4" s="434">
        <v>12.5</v>
      </c>
      <c r="AR4" s="351"/>
      <c r="AS4" s="351"/>
      <c r="AT4" s="351"/>
      <c r="AU4" s="351"/>
      <c r="AV4" s="351"/>
      <c r="AW4" s="351"/>
      <c r="AX4" s="351"/>
      <c r="AY4" s="351"/>
      <c r="AZ4" s="351"/>
      <c r="BA4" s="351"/>
      <c r="BB4" s="351"/>
      <c r="BC4" s="351"/>
      <c r="BD4" s="351"/>
      <c r="BE4" s="351"/>
    </row>
    <row r="5">
      <c r="A5" s="433" t="s">
        <v>61</v>
      </c>
      <c r="B5" s="434">
        <f>Sum('Time Sheet'!G13:J13)*$AQ$4</f>
        <v>0</v>
      </c>
      <c r="C5" s="434">
        <v>12.5</v>
      </c>
      <c r="D5" s="434">
        <v>25.0</v>
      </c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B5" s="351"/>
      <c r="AC5" s="351"/>
      <c r="AD5" s="351"/>
      <c r="AE5" s="351"/>
      <c r="AF5" s="351"/>
      <c r="AG5" s="351"/>
      <c r="AH5" s="351"/>
      <c r="AI5" s="351"/>
      <c r="AJ5" s="351"/>
      <c r="AK5" s="351"/>
      <c r="AL5" s="351"/>
      <c r="AM5" s="351"/>
      <c r="AN5" s="351"/>
      <c r="AP5" s="351"/>
      <c r="AQ5" s="351"/>
      <c r="AR5" s="351"/>
      <c r="AS5" s="351"/>
      <c r="AT5" s="351"/>
      <c r="AU5" s="351"/>
      <c r="AV5" s="351"/>
      <c r="AW5" s="351"/>
      <c r="AX5" s="351"/>
      <c r="AY5" s="351"/>
      <c r="AZ5" s="351"/>
      <c r="BA5" s="351"/>
      <c r="BB5" s="351"/>
      <c r="BC5" s="351"/>
      <c r="BD5" s="351"/>
      <c r="BE5" s="351"/>
    </row>
    <row r="6">
      <c r="A6" s="433" t="s">
        <v>62</v>
      </c>
      <c r="B6" s="434">
        <v>0.0</v>
      </c>
      <c r="C6" s="434">
        <v>12.5</v>
      </c>
      <c r="D6" s="434">
        <v>25.0</v>
      </c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51"/>
      <c r="AB6" s="351"/>
      <c r="AC6" s="351"/>
      <c r="AD6" s="351"/>
      <c r="AE6" s="351"/>
      <c r="AF6" s="351"/>
      <c r="AG6" s="351"/>
      <c r="AH6" s="351"/>
      <c r="AI6" s="351"/>
      <c r="AJ6" s="351"/>
      <c r="AK6" s="351"/>
      <c r="AL6" s="351"/>
      <c r="AM6" s="351"/>
      <c r="AN6" s="351"/>
      <c r="AP6" s="351"/>
      <c r="AQ6" s="351"/>
      <c r="AR6" s="351"/>
      <c r="AS6" s="351"/>
      <c r="AT6" s="351"/>
      <c r="AU6" s="351"/>
      <c r="AV6" s="351"/>
      <c r="AW6" s="351"/>
      <c r="AX6" s="351"/>
      <c r="AY6" s="351"/>
      <c r="AZ6" s="351"/>
      <c r="BA6" s="351"/>
      <c r="BB6" s="351"/>
      <c r="BC6" s="351"/>
      <c r="BD6" s="351"/>
      <c r="BE6" s="351"/>
    </row>
    <row r="7">
      <c r="A7" s="433" t="s">
        <v>63</v>
      </c>
      <c r="B7" s="434">
        <v>0.0</v>
      </c>
      <c r="C7" s="434">
        <v>12.5</v>
      </c>
      <c r="D7" s="434">
        <v>25.0</v>
      </c>
      <c r="F7" s="351"/>
      <c r="G7" s="351"/>
      <c r="H7" s="351"/>
      <c r="I7" s="351"/>
      <c r="J7" s="351"/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351"/>
      <c r="V7" s="351"/>
      <c r="W7" s="351"/>
      <c r="X7" s="351"/>
      <c r="Y7" s="351"/>
      <c r="Z7" s="351"/>
      <c r="AA7" s="351"/>
      <c r="AB7" s="351"/>
      <c r="AC7" s="351"/>
      <c r="AD7" s="351"/>
      <c r="AE7" s="351"/>
      <c r="AF7" s="351"/>
      <c r="AG7" s="351"/>
      <c r="AH7" s="351"/>
      <c r="AI7" s="351"/>
      <c r="AJ7" s="351"/>
      <c r="AK7" s="351"/>
      <c r="AL7" s="351"/>
      <c r="AM7" s="351"/>
      <c r="AN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1"/>
      <c r="BE7" s="351"/>
    </row>
    <row r="8">
      <c r="A8" s="433" t="s">
        <v>64</v>
      </c>
      <c r="B8" s="434">
        <v>0.0</v>
      </c>
      <c r="C8" s="434">
        <v>12.5</v>
      </c>
      <c r="D8" s="434">
        <v>25.0</v>
      </c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1"/>
      <c r="AF8" s="351"/>
      <c r="AG8" s="351"/>
      <c r="AH8" s="351"/>
      <c r="AI8" s="351"/>
      <c r="AJ8" s="351"/>
      <c r="AK8" s="351"/>
      <c r="AL8" s="351"/>
      <c r="AM8" s="351"/>
      <c r="AN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1"/>
      <c r="BE8" s="351"/>
    </row>
    <row r="9">
      <c r="A9" s="433" t="s">
        <v>65</v>
      </c>
      <c r="B9" s="434">
        <v>0.0</v>
      </c>
      <c r="C9" s="434">
        <v>12.5</v>
      </c>
      <c r="D9" s="434">
        <v>25.0</v>
      </c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  <c r="AB9" s="351"/>
      <c r="AC9" s="351"/>
      <c r="AD9" s="351"/>
      <c r="AE9" s="351"/>
      <c r="AF9" s="351"/>
      <c r="AG9" s="351"/>
      <c r="AH9" s="351"/>
      <c r="AI9" s="351"/>
      <c r="AJ9" s="351"/>
      <c r="AK9" s="351"/>
      <c r="AL9" s="351"/>
      <c r="AM9" s="351"/>
      <c r="AN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1"/>
      <c r="BE9" s="351"/>
    </row>
    <row r="10">
      <c r="A10" s="433" t="s">
        <v>66</v>
      </c>
      <c r="B10" s="434">
        <v>0.0</v>
      </c>
      <c r="C10" s="434">
        <v>0.0</v>
      </c>
      <c r="D10" s="434">
        <v>0.0</v>
      </c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1"/>
      <c r="AH10" s="351"/>
      <c r="AI10" s="351"/>
      <c r="AJ10" s="351"/>
      <c r="AK10" s="351"/>
      <c r="AL10" s="351"/>
      <c r="AM10" s="351"/>
      <c r="AN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1"/>
      <c r="BE10" s="351"/>
    </row>
    <row r="11">
      <c r="A11" s="433" t="s">
        <v>67</v>
      </c>
      <c r="B11" s="434">
        <v>0.0</v>
      </c>
      <c r="C11" s="434">
        <v>12.5</v>
      </c>
      <c r="D11" s="434">
        <v>25.0</v>
      </c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351"/>
      <c r="AJ11" s="351"/>
      <c r="AK11" s="351"/>
      <c r="AL11" s="351"/>
      <c r="AM11" s="351"/>
      <c r="AN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1"/>
      <c r="BE11" s="351"/>
    </row>
    <row r="12">
      <c r="A12" s="435" t="s">
        <v>191</v>
      </c>
      <c r="B12" s="436">
        <f t="shared" ref="B12:AN12" si="1">SUM(B11)</f>
        <v>0</v>
      </c>
      <c r="C12" s="436">
        <f t="shared" si="1"/>
        <v>12.5</v>
      </c>
      <c r="D12" s="436">
        <f t="shared" si="1"/>
        <v>25</v>
      </c>
      <c r="E12" s="436">
        <f t="shared" si="1"/>
        <v>0</v>
      </c>
      <c r="F12" s="436">
        <f t="shared" si="1"/>
        <v>0</v>
      </c>
      <c r="G12" s="436">
        <f t="shared" si="1"/>
        <v>0</v>
      </c>
      <c r="H12" s="436">
        <f t="shared" si="1"/>
        <v>0</v>
      </c>
      <c r="I12" s="436">
        <f t="shared" si="1"/>
        <v>0</v>
      </c>
      <c r="J12" s="436">
        <f t="shared" si="1"/>
        <v>0</v>
      </c>
      <c r="K12" s="436">
        <f t="shared" si="1"/>
        <v>0</v>
      </c>
      <c r="L12" s="436">
        <f t="shared" si="1"/>
        <v>0</v>
      </c>
      <c r="M12" s="436">
        <f t="shared" si="1"/>
        <v>0</v>
      </c>
      <c r="N12" s="436">
        <f t="shared" si="1"/>
        <v>0</v>
      </c>
      <c r="O12" s="436">
        <f t="shared" si="1"/>
        <v>0</v>
      </c>
      <c r="P12" s="436">
        <f t="shared" si="1"/>
        <v>0</v>
      </c>
      <c r="Q12" s="436">
        <f t="shared" si="1"/>
        <v>0</v>
      </c>
      <c r="R12" s="436">
        <f t="shared" si="1"/>
        <v>0</v>
      </c>
      <c r="S12" s="436">
        <f t="shared" si="1"/>
        <v>0</v>
      </c>
      <c r="T12" s="436">
        <f t="shared" si="1"/>
        <v>0</v>
      </c>
      <c r="U12" s="436">
        <f t="shared" si="1"/>
        <v>0</v>
      </c>
      <c r="V12" s="436">
        <f t="shared" si="1"/>
        <v>0</v>
      </c>
      <c r="W12" s="436">
        <f t="shared" si="1"/>
        <v>0</v>
      </c>
      <c r="X12" s="436">
        <f t="shared" si="1"/>
        <v>0</v>
      </c>
      <c r="Y12" s="436">
        <f t="shared" si="1"/>
        <v>0</v>
      </c>
      <c r="Z12" s="436">
        <f t="shared" si="1"/>
        <v>0</v>
      </c>
      <c r="AA12" s="436">
        <f t="shared" si="1"/>
        <v>0</v>
      </c>
      <c r="AB12" s="436">
        <f t="shared" si="1"/>
        <v>0</v>
      </c>
      <c r="AC12" s="436">
        <f t="shared" si="1"/>
        <v>0</v>
      </c>
      <c r="AD12" s="436">
        <f t="shared" si="1"/>
        <v>0</v>
      </c>
      <c r="AE12" s="436">
        <f t="shared" si="1"/>
        <v>0</v>
      </c>
      <c r="AF12" s="436">
        <f t="shared" si="1"/>
        <v>0</v>
      </c>
      <c r="AG12" s="436">
        <f t="shared" si="1"/>
        <v>0</v>
      </c>
      <c r="AH12" s="436">
        <f t="shared" si="1"/>
        <v>0</v>
      </c>
      <c r="AI12" s="436">
        <f t="shared" si="1"/>
        <v>0</v>
      </c>
      <c r="AJ12" s="436">
        <f t="shared" si="1"/>
        <v>0</v>
      </c>
      <c r="AK12" s="436">
        <f t="shared" si="1"/>
        <v>0</v>
      </c>
      <c r="AL12" s="436">
        <f t="shared" si="1"/>
        <v>0</v>
      </c>
      <c r="AM12" s="436">
        <f t="shared" si="1"/>
        <v>0</v>
      </c>
      <c r="AN12" s="437">
        <f t="shared" si="1"/>
        <v>0</v>
      </c>
      <c r="AP12" s="438"/>
      <c r="AQ12" s="438"/>
      <c r="AR12" s="438"/>
      <c r="AS12" s="438"/>
      <c r="AT12" s="438"/>
      <c r="AU12" s="438"/>
      <c r="AV12" s="438"/>
      <c r="AW12" s="438"/>
      <c r="AX12" s="438"/>
      <c r="AY12" s="438"/>
      <c r="AZ12" s="438"/>
      <c r="BA12" s="438"/>
      <c r="BB12" s="438"/>
      <c r="BC12" s="438"/>
      <c r="BD12" s="438"/>
      <c r="BE12" s="438"/>
    </row>
    <row r="13">
      <c r="AM13" s="298" t="s">
        <v>192</v>
      </c>
      <c r="AN13" s="351">
        <f>sum(B12:AN12)</f>
        <v>37.5</v>
      </c>
    </row>
  </sheetData>
  <mergeCells count="5">
    <mergeCell ref="B1:P1"/>
    <mergeCell ref="Q1:AD1"/>
    <mergeCell ref="AE1:AN1"/>
    <mergeCell ref="AO1:AO12"/>
    <mergeCell ref="AT2:AX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4" max="4" width="38.67"/>
  </cols>
  <sheetData>
    <row r="1">
      <c r="A1" s="439"/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39"/>
      <c r="Y1" s="439"/>
      <c r="Z1" s="439"/>
    </row>
    <row r="2">
      <c r="A2" s="440" t="s">
        <v>193</v>
      </c>
      <c r="B2" s="440" t="s">
        <v>194</v>
      </c>
      <c r="C2" s="441"/>
      <c r="D2" s="440" t="s">
        <v>195</v>
      </c>
      <c r="E2" s="439"/>
      <c r="F2" s="441"/>
      <c r="G2" s="440" t="s">
        <v>196</v>
      </c>
      <c r="H2" s="441"/>
      <c r="I2" s="441"/>
      <c r="J2" s="442" t="s">
        <v>197</v>
      </c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</row>
    <row r="3">
      <c r="A3" s="443" t="s">
        <v>198</v>
      </c>
      <c r="B3" s="444" t="s">
        <v>199</v>
      </c>
      <c r="D3" s="445" t="s">
        <v>200</v>
      </c>
      <c r="G3" s="445" t="s">
        <v>201</v>
      </c>
      <c r="J3" s="446"/>
    </row>
    <row r="4">
      <c r="A4" s="447"/>
      <c r="B4" s="448"/>
      <c r="D4" s="445" t="s">
        <v>202</v>
      </c>
      <c r="G4" s="445" t="s">
        <v>203</v>
      </c>
    </row>
    <row r="5">
      <c r="A5" s="447"/>
      <c r="B5" s="448"/>
      <c r="D5" s="445" t="s">
        <v>204</v>
      </c>
      <c r="G5" s="445"/>
    </row>
    <row r="6">
      <c r="A6" s="449"/>
      <c r="B6" s="450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</row>
    <row r="7">
      <c r="A7" s="443" t="s">
        <v>205</v>
      </c>
      <c r="B7" s="444" t="s">
        <v>206</v>
      </c>
      <c r="D7" s="445" t="s">
        <v>207</v>
      </c>
      <c r="G7" s="445" t="s">
        <v>208</v>
      </c>
      <c r="J7" s="446"/>
    </row>
    <row r="8">
      <c r="A8" s="447"/>
      <c r="B8" s="448"/>
      <c r="G8" s="445" t="s">
        <v>209</v>
      </c>
    </row>
    <row r="9">
      <c r="A9" s="447"/>
      <c r="B9" s="448"/>
    </row>
    <row r="10">
      <c r="A10" s="449"/>
      <c r="B10" s="450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49"/>
      <c r="U10" s="449"/>
      <c r="V10" s="449"/>
      <c r="W10" s="449"/>
      <c r="X10" s="449"/>
      <c r="Y10" s="449"/>
      <c r="Z10" s="449"/>
    </row>
    <row r="11">
      <c r="A11" s="443" t="s">
        <v>210</v>
      </c>
      <c r="B11" s="444" t="s">
        <v>211</v>
      </c>
      <c r="D11" s="445" t="s">
        <v>212</v>
      </c>
      <c r="J11" s="446"/>
    </row>
    <row r="12">
      <c r="A12" s="447"/>
      <c r="B12" s="448"/>
    </row>
    <row r="13">
      <c r="A13" s="449"/>
      <c r="B13" s="450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449"/>
      <c r="X13" s="449"/>
      <c r="Y13" s="449"/>
      <c r="Z13" s="449"/>
    </row>
    <row r="14">
      <c r="A14" s="443" t="s">
        <v>213</v>
      </c>
      <c r="B14" s="444" t="s">
        <v>214</v>
      </c>
      <c r="D14" s="445" t="s">
        <v>215</v>
      </c>
      <c r="G14" s="445" t="s">
        <v>216</v>
      </c>
      <c r="J14" s="446"/>
    </row>
    <row r="15">
      <c r="A15" s="447"/>
      <c r="D15" s="445" t="s">
        <v>217</v>
      </c>
      <c r="G15" s="445" t="s">
        <v>218</v>
      </c>
    </row>
    <row r="16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49"/>
      <c r="U16" s="449"/>
      <c r="V16" s="449"/>
      <c r="W16" s="449"/>
      <c r="X16" s="449"/>
      <c r="Y16" s="449"/>
      <c r="Z16" s="449"/>
    </row>
    <row r="17">
      <c r="A17" s="451" t="s">
        <v>219</v>
      </c>
      <c r="B17" s="452" t="s">
        <v>220</v>
      </c>
      <c r="D17" s="452" t="s">
        <v>221</v>
      </c>
      <c r="G17" s="452" t="s">
        <v>222</v>
      </c>
      <c r="J17" s="446"/>
    </row>
    <row r="18">
      <c r="A18" s="447"/>
      <c r="D18" s="298" t="s">
        <v>223</v>
      </c>
    </row>
    <row r="19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49"/>
    </row>
    <row r="20">
      <c r="A20" s="451" t="s">
        <v>224</v>
      </c>
      <c r="B20" s="452" t="s">
        <v>225</v>
      </c>
      <c r="D20" s="452" t="s">
        <v>221</v>
      </c>
      <c r="G20" s="298" t="s">
        <v>226</v>
      </c>
      <c r="J20" s="446"/>
    </row>
    <row r="21">
      <c r="A21" s="447"/>
      <c r="D21" s="298" t="s">
        <v>227</v>
      </c>
      <c r="G21" s="298" t="s">
        <v>228</v>
      </c>
    </row>
    <row r="22">
      <c r="A22" s="447"/>
    </row>
    <row r="23">
      <c r="A23" s="447"/>
    </row>
    <row r="24">
      <c r="A24" s="447"/>
      <c r="B24" s="298" t="s">
        <v>229</v>
      </c>
    </row>
    <row r="25">
      <c r="A25" s="447"/>
    </row>
  </sheetData>
  <mergeCells count="7">
    <mergeCell ref="J3:J5"/>
    <mergeCell ref="D5:E5"/>
    <mergeCell ref="J7:J9"/>
    <mergeCell ref="J11:J12"/>
    <mergeCell ref="J14:J15"/>
    <mergeCell ref="J17:J18"/>
    <mergeCell ref="J20:J21"/>
  </mergeCells>
  <drawing r:id="rId1"/>
</worksheet>
</file>