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kiri\Desktop\York\SwEng\Finance report\"/>
    </mc:Choice>
  </mc:AlternateContent>
  <xr:revisionPtr revIDLastSave="0" documentId="8_{B1F1BA41-2F5D-45F1-ABE3-A01AA83E7E4D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Financial Summary Report" sheetId="1" r:id="rId1"/>
    <sheet name="Financial Report - Final" sheetId="2" r:id="rId2"/>
    <sheet name="Stats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" i="6" l="1" a="1"/>
  <c r="F15" i="6" s="1"/>
  <c r="F8" i="6" a="1"/>
  <c r="F8" i="6" s="1"/>
  <c r="AZ26" i="2"/>
  <c r="AM19" i="2" s="1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AV23" i="2"/>
  <c r="AV22" i="2"/>
  <c r="AV21" i="2"/>
  <c r="AZ19" i="2"/>
  <c r="O15" i="2" s="1"/>
  <c r="E23" i="1" s="1"/>
  <c r="AO19" i="2"/>
  <c r="AF19" i="2"/>
  <c r="AO18" i="2"/>
  <c r="G26" i="1" s="1"/>
  <c r="AN18" i="2"/>
  <c r="AF18" i="2"/>
  <c r="AV18" i="2" s="1"/>
  <c r="AU17" i="2"/>
  <c r="AQ17" i="2"/>
  <c r="AG17" i="2"/>
  <c r="AC17" i="2"/>
  <c r="R17" i="2"/>
  <c r="AV17" i="2" s="1"/>
  <c r="N17" i="2"/>
  <c r="AU16" i="2"/>
  <c r="AQ16" i="2"/>
  <c r="G24" i="1" s="1"/>
  <c r="AG16" i="2"/>
  <c r="AC16" i="2"/>
  <c r="F24" i="1" s="1"/>
  <c r="R16" i="2"/>
  <c r="N16" i="2"/>
  <c r="AU15" i="2"/>
  <c r="AR15" i="2"/>
  <c r="AO15" i="2"/>
  <c r="G23" i="1" s="1"/>
  <c r="AG15" i="2"/>
  <c r="AD15" i="2"/>
  <c r="F23" i="1" s="1"/>
  <c r="AA15" i="2"/>
  <c r="R15" i="2"/>
  <c r="L15" i="2"/>
  <c r="AV15" i="2" s="1"/>
  <c r="AU14" i="2"/>
  <c r="AT14" i="2"/>
  <c r="AS14" i="2"/>
  <c r="AR14" i="2"/>
  <c r="AQ14" i="2"/>
  <c r="AP14" i="2"/>
  <c r="AO14" i="2"/>
  <c r="AO20" i="2" s="1"/>
  <c r="AN14" i="2"/>
  <c r="AM14" i="2"/>
  <c r="AM20" i="2" s="1"/>
  <c r="AM25" i="2" s="1"/>
  <c r="AL14" i="2"/>
  <c r="AK14" i="2"/>
  <c r="AJ14" i="2"/>
  <c r="AI14" i="2"/>
  <c r="AH14" i="2"/>
  <c r="AG14" i="2"/>
  <c r="AF14" i="2"/>
  <c r="AF20" i="2" s="1"/>
  <c r="AE14" i="2"/>
  <c r="AE20" i="2" s="1"/>
  <c r="AE25" i="2" s="1"/>
  <c r="AD14" i="2"/>
  <c r="AD20" i="2" s="1"/>
  <c r="AC14" i="2"/>
  <c r="AC20" i="2" s="1"/>
  <c r="AC25" i="2" s="1"/>
  <c r="AB14" i="2"/>
  <c r="AB20" i="2" s="1"/>
  <c r="AA14" i="2"/>
  <c r="AA20" i="2" s="1"/>
  <c r="AA25" i="2" s="1"/>
  <c r="Z14" i="2"/>
  <c r="Z20" i="2" s="1"/>
  <c r="Y14" i="2"/>
  <c r="Y20" i="2" s="1"/>
  <c r="Y25" i="2" s="1"/>
  <c r="X14" i="2"/>
  <c r="X20" i="2" s="1"/>
  <c r="W14" i="2"/>
  <c r="W20" i="2" s="1"/>
  <c r="V14" i="2"/>
  <c r="V20" i="2" s="1"/>
  <c r="U14" i="2"/>
  <c r="U20" i="2" s="1"/>
  <c r="T14" i="2"/>
  <c r="T20" i="2" s="1"/>
  <c r="S14" i="2"/>
  <c r="S20" i="2" s="1"/>
  <c r="S25" i="2" s="1"/>
  <c r="R14" i="2"/>
  <c r="R20" i="2" s="1"/>
  <c r="Q14" i="2"/>
  <c r="Q20" i="2" s="1"/>
  <c r="Q25" i="2" s="1"/>
  <c r="P14" i="2"/>
  <c r="P20" i="2" s="1"/>
  <c r="O14" i="2"/>
  <c r="O20" i="2" s="1"/>
  <c r="O25" i="2" s="1"/>
  <c r="N14" i="2"/>
  <c r="N20" i="2" s="1"/>
  <c r="M14" i="2"/>
  <c r="M20" i="2" s="1"/>
  <c r="M25" i="2" s="1"/>
  <c r="L14" i="2"/>
  <c r="L20" i="2" s="1"/>
  <c r="K14" i="2"/>
  <c r="K20" i="2" s="1"/>
  <c r="J14" i="2"/>
  <c r="J20" i="2" s="1"/>
  <c r="I14" i="2"/>
  <c r="I20" i="2" s="1"/>
  <c r="AU13" i="2"/>
  <c r="AT13" i="2"/>
  <c r="AS13" i="2"/>
  <c r="AR13" i="2"/>
  <c r="AQ13" i="2"/>
  <c r="AP13" i="2"/>
  <c r="AM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AO12" i="2"/>
  <c r="AN12" i="2"/>
  <c r="AN13" i="2" s="1"/>
  <c r="AF12" i="2"/>
  <c r="AV11" i="2"/>
  <c r="AO11" i="2"/>
  <c r="AO13" i="2" s="1"/>
  <c r="AL11" i="2"/>
  <c r="AP19" i="2" s="1"/>
  <c r="E27" i="1"/>
  <c r="E26" i="1"/>
  <c r="G25" i="1"/>
  <c r="F25" i="1"/>
  <c r="E25" i="1"/>
  <c r="H25" i="1" s="1"/>
  <c r="E24" i="1"/>
  <c r="F19" i="1"/>
  <c r="G17" i="1"/>
  <c r="F17" i="1"/>
  <c r="E17" i="1"/>
  <c r="H17" i="1" s="1"/>
  <c r="F16" i="1"/>
  <c r="E16" i="1"/>
  <c r="E19" i="1" s="1"/>
  <c r="T25" i="2" l="1"/>
  <c r="AD25" i="2"/>
  <c r="R25" i="2"/>
  <c r="AF25" i="2"/>
  <c r="I25" i="2"/>
  <c r="I26" i="2" s="1"/>
  <c r="W25" i="2"/>
  <c r="U25" i="2"/>
  <c r="K25" i="2"/>
  <c r="J25" i="2"/>
  <c r="AO25" i="2"/>
  <c r="L25" i="2"/>
  <c r="X25" i="2"/>
  <c r="Z25" i="2"/>
  <c r="N25" i="2"/>
  <c r="P25" i="2"/>
  <c r="AB25" i="2"/>
  <c r="V25" i="2"/>
  <c r="H23" i="1"/>
  <c r="AP20" i="2"/>
  <c r="AP25" i="2" s="1"/>
  <c r="AU20" i="2"/>
  <c r="AU25" i="2" s="1"/>
  <c r="H24" i="1"/>
  <c r="G22" i="1"/>
  <c r="AV16" i="2"/>
  <c r="AQ19" i="2"/>
  <c r="AQ20" i="2" s="1"/>
  <c r="AQ25" i="2" s="1"/>
  <c r="F16" i="6"/>
  <c r="E22" i="1"/>
  <c r="G16" i="1"/>
  <c r="G19" i="1" s="1"/>
  <c r="AV12" i="2"/>
  <c r="AR27" i="2" s="1"/>
  <c r="AR19" i="2"/>
  <c r="AR20" i="2" s="1"/>
  <c r="AR25" i="2" s="1"/>
  <c r="F9" i="6"/>
  <c r="F17" i="6"/>
  <c r="F10" i="6"/>
  <c r="AS19" i="2"/>
  <c r="AS20" i="2" s="1"/>
  <c r="AS25" i="2" s="1"/>
  <c r="AH19" i="2"/>
  <c r="AH20" i="2" s="1"/>
  <c r="AH25" i="2" s="1"/>
  <c r="AT19" i="2"/>
  <c r="AT20" i="2" s="1"/>
  <c r="AT25" i="2" s="1"/>
  <c r="AG19" i="2"/>
  <c r="F27" i="1" s="1"/>
  <c r="F26" i="1"/>
  <c r="H26" i="1" s="1"/>
  <c r="AI19" i="2"/>
  <c r="AI20" i="2" s="1"/>
  <c r="AI25" i="2" s="1"/>
  <c r="AU19" i="2"/>
  <c r="AJ19" i="2"/>
  <c r="AJ20" i="2" s="1"/>
  <c r="AJ25" i="2" s="1"/>
  <c r="AL13" i="2"/>
  <c r="AK19" i="2"/>
  <c r="AK20" i="2" s="1"/>
  <c r="AK25" i="2" s="1"/>
  <c r="AV14" i="2"/>
  <c r="AL19" i="2"/>
  <c r="F12" i="6"/>
  <c r="AN19" i="2"/>
  <c r="AN20" i="2" s="1"/>
  <c r="AN25" i="2" s="1"/>
  <c r="F13" i="6"/>
  <c r="F14" i="6"/>
  <c r="F22" i="1"/>
  <c r="M26" i="2" l="1"/>
  <c r="O26" i="2"/>
  <c r="U26" i="2"/>
  <c r="J26" i="2"/>
  <c r="K26" i="2"/>
  <c r="L26" i="2"/>
  <c r="V26" i="2"/>
  <c r="AD26" i="2"/>
  <c r="W26" i="2"/>
  <c r="Q26" i="2"/>
  <c r="AC26" i="2"/>
  <c r="X26" i="2"/>
  <c r="AF26" i="2"/>
  <c r="AA26" i="2"/>
  <c r="P26" i="2"/>
  <c r="R26" i="2"/>
  <c r="AB26" i="2"/>
  <c r="S26" i="2"/>
  <c r="Y26" i="2"/>
  <c r="N26" i="2"/>
  <c r="AE26" i="2"/>
  <c r="Z26" i="2"/>
  <c r="T26" i="2"/>
  <c r="H27" i="1"/>
  <c r="F28" i="1"/>
  <c r="AG20" i="2"/>
  <c r="AG25" i="2" s="1"/>
  <c r="E28" i="1"/>
  <c r="H22" i="1"/>
  <c r="G12" i="6" s="1" a="1"/>
  <c r="AZ18" i="2"/>
  <c r="H16" i="1"/>
  <c r="G27" i="1"/>
  <c r="G28" i="1" s="1"/>
  <c r="AL20" i="2"/>
  <c r="AL25" i="2" s="1"/>
  <c r="AV19" i="2"/>
  <c r="AR28" i="2" s="1"/>
  <c r="AR29" i="2" s="1"/>
  <c r="G30" i="1" l="1"/>
  <c r="F30" i="1"/>
  <c r="AK26" i="2"/>
  <c r="AS26" i="2"/>
  <c r="AP26" i="2"/>
  <c r="AL26" i="2"/>
  <c r="AG26" i="2"/>
  <c r="AU26" i="2"/>
  <c r="AR26" i="2"/>
  <c r="AO26" i="2"/>
  <c r="AI26" i="2"/>
  <c r="AN26" i="2"/>
  <c r="AJ26" i="2"/>
  <c r="AT26" i="2"/>
  <c r="AQ26" i="2"/>
  <c r="AM26" i="2"/>
  <c r="AH26" i="2"/>
  <c r="H28" i="1"/>
  <c r="G30" i="6"/>
  <c r="G31" i="6" s="1"/>
  <c r="G32" i="6" s="1"/>
  <c r="E30" i="1"/>
  <c r="H19" i="1"/>
  <c r="G8" i="6" a="1"/>
  <c r="G17" i="6"/>
  <c r="G16" i="6"/>
  <c r="G15" i="6"/>
  <c r="G14" i="6"/>
  <c r="G13" i="6"/>
  <c r="G12" i="6"/>
  <c r="G10" i="6" l="1"/>
  <c r="G9" i="6"/>
  <c r="G8" i="6"/>
  <c r="H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N18" authorId="0" shapeId="0" xr:uid="{00000000-0006-0000-0100-000001000000}">
      <text>
        <r>
          <rPr>
            <sz val="10"/>
            <color rgb="FF000000"/>
            <rFont val="Arial"/>
          </rPr>
          <t>failed to deliver audio module on time</t>
        </r>
      </text>
    </comment>
    <comment ref="AO18" authorId="0" shapeId="0" xr:uid="{00000000-0006-0000-0100-000002000000}">
      <text>
        <r>
          <rPr>
            <sz val="10"/>
            <color rgb="FF000000"/>
            <rFont val="Arial"/>
          </rPr>
          <t xml:space="preserve">audio module not accepted </t>
        </r>
      </text>
    </comment>
    <comment ref="AZ19" authorId="0" shapeId="0" xr:uid="{00000000-0006-0000-0100-000003000000}">
      <text>
        <r>
          <rPr>
            <sz val="10"/>
            <color rgb="FF000000"/>
            <rFont val="Arial"/>
          </rPr>
          <t>1,400 sq ft
X
£23.50 per sq ft per annum
/
52 weeks a year</t>
        </r>
      </text>
    </comment>
    <comment ref="AZ26" authorId="0" shapeId="0" xr:uid="{00000000-0006-0000-0100-000004000000}">
      <text>
        <r>
          <rPr>
            <sz val="10"/>
            <color rgb="FF000000"/>
            <rFont val="Arial"/>
          </rPr>
          <t>APR/54 weeks</t>
        </r>
      </text>
    </comment>
  </commentList>
</comments>
</file>

<file path=xl/sharedStrings.xml><?xml version="1.0" encoding="utf-8"?>
<sst xmlns="http://schemas.openxmlformats.org/spreadsheetml/2006/main" count="100" uniqueCount="88">
  <si>
    <t>SuperPres</t>
  </si>
  <si>
    <t>Finance Summary Report</t>
  </si>
  <si>
    <t>Timeframe</t>
  </si>
  <si>
    <t>Submitted on</t>
  </si>
  <si>
    <t>Week of 27/09/2021 - 20/06/2000</t>
  </si>
  <si>
    <t>Revenue</t>
  </si>
  <si>
    <t>Detail</t>
  </si>
  <si>
    <t>Term 1</t>
  </si>
  <si>
    <t>Term 2</t>
  </si>
  <si>
    <t>Term 3</t>
  </si>
  <si>
    <t>Totals</t>
  </si>
  <si>
    <t>Module Contract Trade out</t>
  </si>
  <si>
    <t>Shape &amp; Text display module for £3000.00 each to group 2, paid in three stages (see Contract)</t>
  </si>
  <si>
    <t>Business Loan</t>
  </si>
  <si>
    <t>Two stage payment, term 3 week 1(contracted) and week 3(loan amount accepted by AEW)</t>
  </si>
  <si>
    <t>Expenses</t>
  </si>
  <si>
    <t>Staff Salary</t>
  </si>
  <si>
    <t>Total of 7 members paid at a rate of £12.50 per hour, paid off weekly.</t>
  </si>
  <si>
    <t>Office Rent</t>
  </si>
  <si>
    <t>Rential of an office space of 1,400sq ft for £23.50 per sq ft per annum. Paid off week 4,7 &amp; 10 of each term.</t>
  </si>
  <si>
    <t>IT Infrastructure</t>
  </si>
  <si>
    <t>£100.00 per week, paid off week 6 &amp; 10 of each term.</t>
  </si>
  <si>
    <t>Utilities</t>
  </si>
  <si>
    <t>£50.00 per week, paid off week 6 &amp; 10 of each term.</t>
  </si>
  <si>
    <t>Module Contract Trade In</t>
  </si>
  <si>
    <t>Audio &amp; Image display module for £3000.00 each from group 2, paid in three stages (see Contract). Exception of the audio module due to breaking the contract at delivery stage, 75% of the contracted amount is not transferred.</t>
  </si>
  <si>
    <t>Loan Interest</t>
  </si>
  <si>
    <t>Interest rate at 16.86% APR, paid weekly for the total sum owned in the current week.</t>
  </si>
  <si>
    <t>Balance</t>
  </si>
  <si>
    <t>Financial Report</t>
  </si>
  <si>
    <t>PROJECT TITLE</t>
  </si>
  <si>
    <t>COMPANY NAME</t>
  </si>
  <si>
    <t>SwEng Group 3</t>
  </si>
  <si>
    <t>BUSINESS MENTOR</t>
  </si>
  <si>
    <t>Tony Ward</t>
  </si>
  <si>
    <t>DATE</t>
  </si>
  <si>
    <t>PHASE</t>
  </si>
  <si>
    <t>DETAILS</t>
  </si>
  <si>
    <t>Project End</t>
  </si>
  <si>
    <t>Week</t>
  </si>
  <si>
    <t>Sectional Sum</t>
  </si>
  <si>
    <t>Topics</t>
  </si>
  <si>
    <t>Date</t>
  </si>
  <si>
    <t>- Company Business Loan</t>
  </si>
  <si>
    <t>Module cost =</t>
  </si>
  <si>
    <t>- Module Right Agreement</t>
  </si>
  <si>
    <t>Number of module =</t>
  </si>
  <si>
    <t>- Gross Revenue</t>
  </si>
  <si>
    <t>Module 1st stage =</t>
  </si>
  <si>
    <t>Development Cost</t>
  </si>
  <si>
    <t>- Labour Pay</t>
  </si>
  <si>
    <t>Module 2nd stage =</t>
  </si>
  <si>
    <t>- Office Rent</t>
  </si>
  <si>
    <t>Module 3rd stage =</t>
  </si>
  <si>
    <t>- IT Infrastructure</t>
  </si>
  <si>
    <t xml:space="preserve">Wage  = </t>
  </si>
  <si>
    <t>- Utilities</t>
  </si>
  <si>
    <t xml:space="preserve">Number of Labour = </t>
  </si>
  <si>
    <t>- Intellectual Rights from Other Companies</t>
  </si>
  <si>
    <t xml:space="preserve">Total Hours = </t>
  </si>
  <si>
    <t>- Loan Interest Payment</t>
  </si>
  <si>
    <t>Weely office rent =</t>
  </si>
  <si>
    <t>- Gross Cost</t>
  </si>
  <si>
    <t>Weekly IT Infrastructure charge =</t>
  </si>
  <si>
    <t>Additional Costs</t>
  </si>
  <si>
    <t>- Maintenance</t>
  </si>
  <si>
    <t>Weekly Utilities charge =</t>
  </si>
  <si>
    <t>- Updates</t>
  </si>
  <si>
    <t>Total Grant =</t>
  </si>
  <si>
    <t>- Performance</t>
  </si>
  <si>
    <t>Loan 1st stage =</t>
  </si>
  <si>
    <t>- Gross Additional Expenses</t>
  </si>
  <si>
    <t>Loan 2nd stage =</t>
  </si>
  <si>
    <t>Summary</t>
  </si>
  <si>
    <t>- Weely Summary</t>
  </si>
  <si>
    <t>APR =</t>
  </si>
  <si>
    <t>- Cumulative Balance</t>
  </si>
  <si>
    <t>Weekly Interest Rate =</t>
  </si>
  <si>
    <t xml:space="preserve">Project Summative Revenue </t>
  </si>
  <si>
    <t>Project Summative Cost</t>
  </si>
  <si>
    <t>Project Summative Balance</t>
  </si>
  <si>
    <t>Utilisation</t>
  </si>
  <si>
    <t>By Project</t>
  </si>
  <si>
    <t>Cost</t>
  </si>
  <si>
    <t>Per Term</t>
  </si>
  <si>
    <t>Term 1 (27/09/21-01/03/22)</t>
  </si>
  <si>
    <t>Term 2 (10/01/22-11/04/22)</t>
  </si>
  <si>
    <t>Term 3 (18/04/22-20/06/22)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</si>
</sst>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mmm&quot; &quot;d"/>
    <numFmt numFmtId="165" formatCode="d&quot; &quot;mmm"/>
    <numFmt numFmtId="166" formatCode="[$£-809]#,##0.00"/>
    <numFmt numFmtId="167" formatCode="dd/mm/yyyy"/>
    <numFmt numFmtId="168" formatCode="dd&quot;/&quot;mm&quot;/&quot;yy"/>
    <numFmt numFmtId="169" formatCode="&quot;$&quot;#,##0"/>
  </numFmts>
  <fonts count="75">
    <font>
      <sz val="10"/>
      <color rgb="FF000000"/>
      <name val="Arial"/>
    </font>
    <font>
      <sz val="10"/>
      <name val="Roboto"/>
    </font>
    <font>
      <sz val="10"/>
      <name val="Roboto"/>
    </font>
    <font>
      <sz val="10"/>
      <color rgb="FF6D64E8"/>
      <name val="Roboto"/>
    </font>
    <font>
      <sz val="20"/>
      <color rgb="FF6D64E8"/>
      <name val="Roboto"/>
    </font>
    <font>
      <sz val="10"/>
      <color rgb="FF6D64E8"/>
      <name val="Roboto"/>
    </font>
    <font>
      <sz val="10"/>
      <color rgb="FF666666"/>
      <name val="Roboto"/>
    </font>
    <font>
      <sz val="10"/>
      <color rgb="FF666666"/>
      <name val="Roboto"/>
    </font>
    <font>
      <b/>
      <sz val="24"/>
      <color rgb="FF283592"/>
      <name val="Roboto"/>
    </font>
    <font>
      <sz val="13"/>
      <color rgb="FF434343"/>
      <name val="Roboto"/>
    </font>
    <font>
      <b/>
      <sz val="12"/>
      <color rgb="FF434343"/>
      <name val="Roboto"/>
    </font>
    <font>
      <sz val="10"/>
      <color rgb="FF000000"/>
      <name val="Roboto"/>
    </font>
    <font>
      <sz val="10"/>
      <color rgb="FF2A3990"/>
      <name val="Roboto"/>
    </font>
    <font>
      <sz val="14"/>
      <color rgb="FF2A3990"/>
      <name val="Roboto"/>
    </font>
    <font>
      <b/>
      <sz val="12"/>
      <color rgb="FF2A3990"/>
      <name val="Roboto"/>
    </font>
    <font>
      <b/>
      <sz val="10"/>
      <color rgb="FF666666"/>
      <name val="Roboto"/>
    </font>
    <font>
      <b/>
      <sz val="10"/>
      <color rgb="FF666666"/>
      <name val="Roboto"/>
    </font>
    <font>
      <sz val="10"/>
      <color rgb="FF2A3990"/>
      <name val="Roboto"/>
    </font>
    <font>
      <b/>
      <sz val="10"/>
      <color rgb="FF2A3990"/>
      <name val="Roboto"/>
    </font>
    <font>
      <sz val="16"/>
      <color rgb="FFEB3F79"/>
      <name val="Roboto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Hind"/>
    </font>
    <font>
      <sz val="11"/>
      <color rgb="FF434343"/>
      <name val="Hind"/>
    </font>
    <font>
      <sz val="11"/>
      <color rgb="FF000000"/>
      <name val="Hind"/>
    </font>
    <font>
      <sz val="11"/>
      <name val="Hind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b/>
      <sz val="9"/>
      <color rgb="FF434343"/>
      <name val="Roboto"/>
    </font>
    <font>
      <b/>
      <sz val="24"/>
      <color rgb="FFF8F8F8"/>
      <name val="Roboto"/>
    </font>
    <font>
      <b/>
      <sz val="8"/>
      <name val="Roboto"/>
    </font>
    <font>
      <b/>
      <sz val="8"/>
      <color rgb="FF000000"/>
      <name val="Roboto"/>
    </font>
    <font>
      <sz val="9"/>
      <color rgb="FF666666"/>
      <name val="Roboto"/>
    </font>
    <font>
      <b/>
      <sz val="8"/>
      <color rgb="FF666666"/>
      <name val="Roboto"/>
    </font>
    <font>
      <b/>
      <sz val="12"/>
      <color rgb="FF666666"/>
      <name val="Roboto"/>
    </font>
    <font>
      <sz val="9"/>
      <name val="Roboto"/>
    </font>
    <font>
      <sz val="14"/>
      <color rgb="FFFFFFFF"/>
      <name val="Roboto"/>
    </font>
    <font>
      <b/>
      <sz val="14"/>
      <color rgb="FF0B5394"/>
      <name val="Roboto"/>
    </font>
    <font>
      <sz val="9"/>
      <color rgb="FF0B5394"/>
      <name val="Roboto"/>
    </font>
    <font>
      <sz val="9"/>
      <color rgb="FF1F4E78"/>
      <name val="Roboto"/>
    </font>
    <font>
      <sz val="9"/>
      <color rgb="FFFFFFFF"/>
      <name val="Roboto"/>
    </font>
    <font>
      <sz val="9"/>
      <color rgb="FFB85B22"/>
      <name val="Roboto"/>
    </font>
    <font>
      <sz val="9"/>
      <color rgb="FF999999"/>
      <name val="Roboto"/>
    </font>
    <font>
      <sz val="11"/>
      <color rgb="FF1F4E78"/>
      <name val="Roboto"/>
    </font>
    <font>
      <b/>
      <sz val="14"/>
      <color rgb="FF45818E"/>
      <name val="Roboto"/>
    </font>
    <font>
      <sz val="9"/>
      <color rgb="FF45818E"/>
      <name val="Roboto"/>
    </font>
    <font>
      <sz val="9"/>
      <color rgb="FFB7B7B7"/>
      <name val="Roboto"/>
    </font>
    <font>
      <sz val="11"/>
      <color rgb="FFB85B22"/>
      <name val="Roboto"/>
    </font>
    <font>
      <sz val="9"/>
      <color rgb="FF000000"/>
      <name val="Roboto"/>
    </font>
    <font>
      <b/>
      <sz val="14"/>
      <color rgb="FF38761D"/>
      <name val="Roboto"/>
    </font>
    <font>
      <sz val="9"/>
      <color rgb="FF38761D"/>
      <name val="Roboto"/>
    </font>
    <font>
      <b/>
      <sz val="14"/>
      <color rgb="FF351C75"/>
      <name val="Roboto"/>
    </font>
    <font>
      <sz val="9"/>
      <color rgb="FF351C75"/>
      <name val="Roboto"/>
    </font>
    <font>
      <b/>
      <sz val="11"/>
      <name val="Roboto"/>
    </font>
    <font>
      <b/>
      <sz val="26"/>
      <color rgb="FF283592"/>
      <name val="Roboto"/>
    </font>
    <font>
      <i/>
      <sz val="10"/>
      <color rgb="FF999999"/>
      <name val="Roboto"/>
    </font>
    <font>
      <sz val="34"/>
      <color rgb="FF283592"/>
      <name val="Roboto"/>
    </font>
    <font>
      <sz val="14"/>
      <color rgb="FF283592"/>
      <name val="Roboto"/>
    </font>
    <font>
      <sz val="10"/>
      <color rgb="FF434343"/>
      <name val="Roboto"/>
    </font>
    <font>
      <b/>
      <sz val="10"/>
      <color rgb="FF434343"/>
      <name val="Roboto"/>
    </font>
    <font>
      <b/>
      <sz val="14"/>
      <color rgb="FF434343"/>
      <name val="Roboto"/>
    </font>
    <font>
      <b/>
      <sz val="14"/>
      <color theme="0"/>
      <name val="Roboto"/>
    </font>
    <font>
      <sz val="10"/>
      <color theme="0"/>
      <name val="Roboto"/>
    </font>
  </fonts>
  <fills count="18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9FC5E8"/>
        <bgColor rgb="FF9FC5E8"/>
      </patternFill>
    </fill>
    <fill>
      <patternFill patternType="solid">
        <fgColor rgb="FF999999"/>
        <bgColor rgb="FF999999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351C75"/>
        <bgColor rgb="FF351C75"/>
      </patternFill>
    </fill>
  </fills>
  <borders count="8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 style="thin">
        <color rgb="FFD9D9D9"/>
      </right>
      <top/>
      <bottom/>
      <diagonal/>
    </border>
    <border>
      <left/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/>
      <top style="hair">
        <color rgb="FFCCCCCC"/>
      </top>
      <bottom/>
      <diagonal/>
    </border>
    <border>
      <left style="hair">
        <color rgb="FFCCCCCC"/>
      </left>
      <right style="thin">
        <color rgb="FF999999"/>
      </right>
      <top style="hair">
        <color rgb="FFCCCCCC"/>
      </top>
      <bottom/>
      <diagonal/>
    </border>
    <border>
      <left/>
      <right/>
      <top style="hair">
        <color rgb="FFCCCCCC"/>
      </top>
      <bottom/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/>
      <bottom/>
      <diagonal/>
    </border>
    <border>
      <left/>
      <right/>
      <top/>
      <bottom style="medium">
        <color rgb="FF0B5394"/>
      </bottom>
      <diagonal/>
    </border>
    <border>
      <left/>
      <right style="thin">
        <color rgb="FFD9D9D9"/>
      </right>
      <top/>
      <bottom style="medium">
        <color rgb="FF0B5394"/>
      </bottom>
      <diagonal/>
    </border>
    <border>
      <left/>
      <right style="hair">
        <color rgb="FFB7B7B7"/>
      </right>
      <top style="hair">
        <color rgb="FFCCCCCC"/>
      </top>
      <bottom style="medium">
        <color rgb="FF0B5394"/>
      </bottom>
      <diagonal/>
    </border>
    <border>
      <left style="hair">
        <color rgb="FFB7B7B7"/>
      </left>
      <right style="hair">
        <color rgb="FFB7B7B7"/>
      </right>
      <top style="hair">
        <color rgb="FFCCCCCC"/>
      </top>
      <bottom style="medium">
        <color rgb="FF0B5394"/>
      </bottom>
      <diagonal/>
    </border>
    <border>
      <left style="hair">
        <color rgb="FFB7B7B7"/>
      </left>
      <right/>
      <top style="hair">
        <color rgb="FFCCCCCC"/>
      </top>
      <bottom style="medium">
        <color rgb="FF0B5394"/>
      </bottom>
      <diagonal/>
    </border>
    <border>
      <left style="thin">
        <color rgb="FF999999"/>
      </left>
      <right style="hair">
        <color rgb="FFB7B7B7"/>
      </right>
      <top style="hair">
        <color rgb="FFCCCCCC"/>
      </top>
      <bottom style="medium">
        <color rgb="FF0B5394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/>
      <right/>
      <top/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999999"/>
      </right>
      <top/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hair">
        <color rgb="FFCCCCCC"/>
      </left>
      <right style="hair">
        <color rgb="FF999999"/>
      </right>
      <top style="hair">
        <color rgb="FFCCCCCC"/>
      </top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/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999999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/>
      <right/>
      <top/>
      <bottom style="medium">
        <color rgb="FF45818E"/>
      </bottom>
      <diagonal/>
    </border>
    <border>
      <left/>
      <right style="thin">
        <color rgb="FF999999"/>
      </right>
      <top/>
      <bottom style="medium">
        <color rgb="FF45818E"/>
      </bottom>
      <diagonal/>
    </border>
    <border>
      <left/>
      <right style="hair">
        <color rgb="FFCCCCCC"/>
      </right>
      <top/>
      <bottom style="medium">
        <color rgb="FF45818E"/>
      </bottom>
      <diagonal/>
    </border>
    <border>
      <left/>
      <right style="hair">
        <color rgb="FFCCCCCC"/>
      </right>
      <top/>
      <bottom/>
      <diagonal/>
    </border>
    <border>
      <left style="hair">
        <color rgb="FFCCCCCC"/>
      </left>
      <right style="thin">
        <color rgb="FF999999"/>
      </right>
      <top/>
      <bottom/>
      <diagonal/>
    </border>
    <border>
      <left style="thin">
        <color rgb="FF999999"/>
      </left>
      <right style="hair">
        <color rgb="FFCCCCCC"/>
      </right>
      <top/>
      <bottom/>
      <diagonal/>
    </border>
    <border>
      <left style="hair">
        <color rgb="FFCCCCCC"/>
      </left>
      <right/>
      <top/>
      <bottom/>
      <diagonal/>
    </border>
    <border>
      <left/>
      <right/>
      <top/>
      <bottom style="medium">
        <color rgb="FF38761D"/>
      </bottom>
      <diagonal/>
    </border>
    <border>
      <left/>
      <right style="thin">
        <color rgb="FFD9D9D9"/>
      </right>
      <top/>
      <bottom style="medium">
        <color rgb="FF38761D"/>
      </bottom>
      <diagonal/>
    </border>
    <border>
      <left/>
      <right style="hair">
        <color rgb="FFB7B7B7"/>
      </right>
      <top style="hair">
        <color rgb="FFCCCCCC"/>
      </top>
      <bottom style="medium">
        <color rgb="FF38761D"/>
      </bottom>
      <diagonal/>
    </border>
    <border>
      <left style="hair">
        <color rgb="FFB7B7B7"/>
      </left>
      <right style="hair">
        <color rgb="FFB7B7B7"/>
      </right>
      <top style="hair">
        <color rgb="FFCCCCCC"/>
      </top>
      <bottom style="medium">
        <color rgb="FF38761D"/>
      </bottom>
      <diagonal/>
    </border>
    <border>
      <left style="hair">
        <color rgb="FFB7B7B7"/>
      </left>
      <right style="thin">
        <color rgb="FF999999"/>
      </right>
      <top style="hair">
        <color rgb="FFCCCCCC"/>
      </top>
      <bottom style="medium">
        <color rgb="FF38761D"/>
      </bottom>
      <diagonal/>
    </border>
    <border>
      <left style="hair">
        <color rgb="FFB7B7B7"/>
      </left>
      <right/>
      <top style="hair">
        <color rgb="FFCCCCCC"/>
      </top>
      <bottom style="medium">
        <color rgb="FF38761D"/>
      </bottom>
      <diagonal/>
    </border>
    <border>
      <left style="thin">
        <color rgb="FF999999"/>
      </left>
      <right style="hair">
        <color rgb="FFB7B7B7"/>
      </right>
      <top style="hair">
        <color rgb="FFCCCCCC"/>
      </top>
      <bottom style="medium">
        <color rgb="FF38761D"/>
      </bottom>
      <diagonal/>
    </border>
    <border>
      <left/>
      <right style="hair">
        <color rgb="FFB7B7B7"/>
      </right>
      <top/>
      <bottom style="hair">
        <color rgb="FFCCCCCC"/>
      </bottom>
      <diagonal/>
    </border>
    <border>
      <left style="hair">
        <color rgb="FFB7B7B7"/>
      </left>
      <right style="hair">
        <color rgb="FFB7B7B7"/>
      </right>
      <top/>
      <bottom style="hair">
        <color rgb="FFCCCCCC"/>
      </bottom>
      <diagonal/>
    </border>
    <border>
      <left style="hair">
        <color rgb="FFB7B7B7"/>
      </left>
      <right/>
      <top/>
      <bottom style="hair">
        <color rgb="FFCCCCCC"/>
      </bottom>
      <diagonal/>
    </border>
    <border>
      <left style="thin">
        <color rgb="FF999999"/>
      </left>
      <right style="hair">
        <color rgb="FFB7B7B7"/>
      </right>
      <top/>
      <bottom style="hair">
        <color rgb="FFCCCCCC"/>
      </bottom>
      <diagonal/>
    </border>
    <border>
      <left style="hair">
        <color rgb="FFB7B7B7"/>
      </left>
      <right style="thin">
        <color rgb="FF999999"/>
      </right>
      <top/>
      <bottom style="hair">
        <color rgb="FFCCCCCC"/>
      </bottom>
      <diagonal/>
    </border>
    <border>
      <left/>
      <right/>
      <top/>
      <bottom style="medium">
        <color rgb="FF351C75"/>
      </bottom>
      <diagonal/>
    </border>
    <border>
      <left/>
      <right style="hair">
        <color rgb="FF999999"/>
      </right>
      <top/>
      <bottom style="medium">
        <color rgb="FF351C75"/>
      </bottom>
      <diagonal/>
    </border>
    <border>
      <left/>
      <right style="hair">
        <color rgb="FFB7B7B7"/>
      </right>
      <top style="hair">
        <color rgb="FFCCCCCC"/>
      </top>
      <bottom style="medium">
        <color rgb="FF351C75"/>
      </bottom>
      <diagonal/>
    </border>
    <border>
      <left style="hair">
        <color rgb="FFB7B7B7"/>
      </left>
      <right style="hair">
        <color rgb="FFB7B7B7"/>
      </right>
      <top style="hair">
        <color rgb="FFCCCCCC"/>
      </top>
      <bottom style="medium">
        <color rgb="FF351C75"/>
      </bottom>
      <diagonal/>
    </border>
    <border>
      <left style="hair">
        <color rgb="FFB7B7B7"/>
      </left>
      <right style="thin">
        <color rgb="FF999999"/>
      </right>
      <top style="hair">
        <color rgb="FFCCCCCC"/>
      </top>
      <bottom style="medium">
        <color rgb="FF351C75"/>
      </bottom>
      <diagonal/>
    </border>
    <border>
      <left style="thin">
        <color rgb="FF999999"/>
      </left>
      <right style="hair">
        <color rgb="FFB7B7B7"/>
      </right>
      <top style="hair">
        <color rgb="FFCCCCCC"/>
      </top>
      <bottom style="medium">
        <color rgb="FF351C75"/>
      </bottom>
      <diagonal/>
    </border>
    <border>
      <left/>
      <right/>
      <top style="thin">
        <color rgb="FFCCCCCC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CCCCCC"/>
      </bottom>
      <diagonal/>
    </border>
    <border>
      <left/>
      <right/>
      <top style="thin">
        <color rgb="FFFFFFFF"/>
      </top>
      <bottom style="thin">
        <color rgb="FFCCCCCC"/>
      </bottom>
      <diagonal/>
    </border>
    <border>
      <left/>
      <right style="thin">
        <color rgb="FFFFFFFF"/>
      </right>
      <top style="thin">
        <color rgb="FFFFFFFF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325">
    <xf numFmtId="0" fontId="0" fillId="0" borderId="0" xfId="0" applyFont="1" applyAlignment="1"/>
    <xf numFmtId="0" fontId="1" fillId="2" borderId="0" xfId="0" applyFont="1" applyFill="1" applyAlignment="1"/>
    <xf numFmtId="14" fontId="1" fillId="2" borderId="0" xfId="0" applyNumberFormat="1" applyFont="1" applyFill="1" applyAlignment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4" fillId="3" borderId="0" xfId="0" applyFont="1" applyFill="1" applyAlignment="1">
      <alignment horizontal="left"/>
    </xf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9" fillId="0" borderId="0" xfId="0" applyFont="1" applyAlignment="1"/>
    <xf numFmtId="0" fontId="9" fillId="0" borderId="0" xfId="0" applyFont="1" applyAlignment="1">
      <alignment vertical="center"/>
    </xf>
    <xf numFmtId="14" fontId="6" fillId="0" borderId="0" xfId="0" applyNumberFormat="1" applyFont="1" applyAlignment="1">
      <alignment horizontal="left" vertical="center"/>
    </xf>
    <xf numFmtId="0" fontId="6" fillId="0" borderId="1" xfId="0" applyFont="1" applyBorder="1" applyAlignment="1"/>
    <xf numFmtId="0" fontId="6" fillId="0" borderId="1" xfId="0" applyFont="1" applyBorder="1" applyAlignment="1"/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164" fontId="12" fillId="0" borderId="0" xfId="0" applyNumberFormat="1" applyFont="1" applyAlignment="1">
      <alignment horizontal="right" vertical="top"/>
    </xf>
    <xf numFmtId="0" fontId="13" fillId="0" borderId="0" xfId="0" applyFont="1" applyAlignment="1">
      <alignment horizontal="left" vertical="top"/>
    </xf>
    <xf numFmtId="165" fontId="14" fillId="0" borderId="0" xfId="0" applyNumberFormat="1" applyFont="1" applyAlignment="1">
      <alignment horizontal="right" vertical="top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right" vertical="top"/>
    </xf>
    <xf numFmtId="0" fontId="15" fillId="0" borderId="0" xfId="0" applyFont="1" applyAlignment="1">
      <alignment horizontal="left" vertical="center"/>
    </xf>
    <xf numFmtId="2" fontId="7" fillId="0" borderId="0" xfId="0" applyNumberFormat="1" applyFont="1" applyAlignment="1">
      <alignment horizontal="right" vertical="center"/>
    </xf>
    <xf numFmtId="2" fontId="7" fillId="0" borderId="0" xfId="0" applyNumberFormat="1" applyFont="1" applyAlignment="1">
      <alignment horizontal="left" vertical="center" wrapText="1"/>
    </xf>
    <xf numFmtId="166" fontId="7" fillId="0" borderId="0" xfId="0" applyNumberFormat="1" applyFont="1" applyAlignment="1">
      <alignment horizontal="right" vertical="center"/>
    </xf>
    <xf numFmtId="166" fontId="16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right" vertical="center"/>
    </xf>
    <xf numFmtId="166" fontId="2" fillId="0" borderId="0" xfId="0" applyNumberFormat="1" applyFont="1" applyAlignment="1">
      <alignment horizontal="right" vertical="center"/>
    </xf>
    <xf numFmtId="0" fontId="17" fillId="0" borderId="0" xfId="0" applyFont="1" applyAlignment="1"/>
    <xf numFmtId="0" fontId="18" fillId="0" borderId="2" xfId="0" applyFont="1" applyBorder="1" applyAlignment="1"/>
    <xf numFmtId="2" fontId="17" fillId="0" borderId="2" xfId="0" applyNumberFormat="1" applyFont="1" applyBorder="1" applyAlignment="1">
      <alignment horizontal="right"/>
    </xf>
    <xf numFmtId="2" fontId="17" fillId="0" borderId="2" xfId="0" applyNumberFormat="1" applyFont="1" applyBorder="1" applyAlignment="1">
      <alignment horizontal="left"/>
    </xf>
    <xf numFmtId="166" fontId="17" fillId="0" borderId="2" xfId="0" applyNumberFormat="1" applyFont="1" applyBorder="1" applyAlignment="1">
      <alignment horizontal="right"/>
    </xf>
    <xf numFmtId="166" fontId="18" fillId="0" borderId="2" xfId="0" applyNumberFormat="1" applyFont="1" applyBorder="1" applyAlignment="1">
      <alignment horizontal="right"/>
    </xf>
    <xf numFmtId="0" fontId="1" fillId="0" borderId="0" xfId="0" applyFont="1" applyAlignment="1"/>
    <xf numFmtId="0" fontId="17" fillId="0" borderId="0" xfId="0" applyFont="1" applyAlignment="1">
      <alignment horizontal="left"/>
    </xf>
    <xf numFmtId="2" fontId="6" fillId="0" borderId="0" xfId="0" applyNumberFormat="1" applyFont="1" applyAlignment="1">
      <alignment horizontal="right"/>
    </xf>
    <xf numFmtId="2" fontId="16" fillId="0" borderId="0" xfId="0" applyNumberFormat="1" applyFont="1" applyAlignment="1">
      <alignment horizontal="right"/>
    </xf>
    <xf numFmtId="0" fontId="19" fillId="0" borderId="0" xfId="0" applyFont="1" applyAlignment="1">
      <alignment vertical="center"/>
    </xf>
    <xf numFmtId="2" fontId="17" fillId="0" borderId="0" xfId="0" applyNumberFormat="1" applyFont="1" applyAlignment="1">
      <alignment horizontal="right"/>
    </xf>
    <xf numFmtId="166" fontId="17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0" fontId="18" fillId="0" borderId="0" xfId="0" applyFont="1" applyAlignment="1"/>
    <xf numFmtId="0" fontId="20" fillId="0" borderId="0" xfId="0" applyFont="1" applyAlignment="1">
      <alignment vertical="center"/>
    </xf>
    <xf numFmtId="0" fontId="21" fillId="3" borderId="0" xfId="0" applyFont="1" applyFill="1" applyAlignment="1">
      <alignment vertical="center"/>
    </xf>
    <xf numFmtId="0" fontId="22" fillId="3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22" fillId="3" borderId="0" xfId="0" applyFont="1" applyFill="1" applyAlignment="1">
      <alignment horizontal="center" vertical="center"/>
    </xf>
    <xf numFmtId="0" fontId="24" fillId="3" borderId="0" xfId="0" applyFont="1" applyFill="1" applyAlignment="1">
      <alignment horizontal="center" vertical="center"/>
    </xf>
    <xf numFmtId="0" fontId="24" fillId="3" borderId="0" xfId="0" applyFont="1" applyFill="1" applyAlignment="1">
      <alignment vertical="center"/>
    </xf>
    <xf numFmtId="0" fontId="24" fillId="0" borderId="0" xfId="0" applyFont="1" applyAlignment="1">
      <alignment horizontal="left" vertical="center"/>
    </xf>
    <xf numFmtId="0" fontId="24" fillId="3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6" fillId="3" borderId="3" xfId="0" applyFont="1" applyFill="1" applyBorder="1" applyAlignment="1">
      <alignment vertical="center"/>
    </xf>
    <xf numFmtId="0" fontId="29" fillId="3" borderId="3" xfId="0" applyFont="1" applyFill="1" applyBorder="1" applyAlignment="1">
      <alignment vertical="center" wrapText="1"/>
    </xf>
    <xf numFmtId="0" fontId="29" fillId="0" borderId="0" xfId="0" applyFont="1" applyAlignment="1">
      <alignment vertical="center" wrapText="1"/>
    </xf>
    <xf numFmtId="0" fontId="29" fillId="3" borderId="0" xfId="0" applyFont="1" applyFill="1" applyAlignment="1">
      <alignment vertical="center" wrapText="1"/>
    </xf>
    <xf numFmtId="0" fontId="30" fillId="3" borderId="0" xfId="0" applyFont="1" applyFill="1" applyAlignment="1">
      <alignment vertical="center"/>
    </xf>
    <xf numFmtId="0" fontId="31" fillId="0" borderId="0" xfId="0" applyFont="1" applyAlignment="1">
      <alignment horizontal="left" vertical="center"/>
    </xf>
    <xf numFmtId="0" fontId="32" fillId="3" borderId="0" xfId="0" applyFont="1" applyFill="1" applyAlignment="1">
      <alignment vertical="center"/>
    </xf>
    <xf numFmtId="0" fontId="33" fillId="3" borderId="0" xfId="0" applyFont="1" applyFill="1" applyAlignment="1">
      <alignment vertical="center"/>
    </xf>
    <xf numFmtId="0" fontId="34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/>
    </xf>
    <xf numFmtId="0" fontId="35" fillId="3" borderId="4" xfId="0" applyFont="1" applyFill="1" applyBorder="1" applyAlignment="1">
      <alignment vertical="center"/>
    </xf>
    <xf numFmtId="0" fontId="35" fillId="3" borderId="0" xfId="0" applyFont="1" applyFill="1" applyAlignment="1">
      <alignment vertical="center"/>
    </xf>
    <xf numFmtId="0" fontId="35" fillId="0" borderId="0" xfId="0" applyFont="1" applyAlignment="1">
      <alignment horizontal="left" vertical="center"/>
    </xf>
    <xf numFmtId="0" fontId="23" fillId="0" borderId="0" xfId="0" applyFont="1"/>
    <xf numFmtId="0" fontId="35" fillId="0" borderId="4" xfId="0" applyFont="1" applyBorder="1" applyAlignment="1">
      <alignment vertical="center"/>
    </xf>
    <xf numFmtId="0" fontId="35" fillId="0" borderId="0" xfId="0" applyFont="1" applyAlignment="1">
      <alignment vertical="center"/>
    </xf>
    <xf numFmtId="167" fontId="35" fillId="0" borderId="0" xfId="0" applyNumberFormat="1" applyFont="1" applyAlignment="1">
      <alignment horizontal="left" vertical="center"/>
    </xf>
    <xf numFmtId="0" fontId="35" fillId="0" borderId="0" xfId="0" applyFont="1"/>
    <xf numFmtId="0" fontId="36" fillId="0" borderId="0" xfId="0" applyFont="1" applyAlignment="1">
      <alignment vertical="center"/>
    </xf>
    <xf numFmtId="0" fontId="37" fillId="3" borderId="0" xfId="0" applyFont="1" applyFill="1" applyAlignment="1">
      <alignment vertical="center"/>
    </xf>
    <xf numFmtId="0" fontId="37" fillId="3" borderId="0" xfId="0" applyFont="1" applyFill="1" applyAlignment="1">
      <alignment horizontal="center" vertical="center"/>
    </xf>
    <xf numFmtId="0" fontId="37" fillId="0" borderId="0" xfId="0" applyFont="1" applyAlignment="1">
      <alignment vertical="center"/>
    </xf>
    <xf numFmtId="0" fontId="38" fillId="4" borderId="0" xfId="0" applyFont="1" applyFill="1" applyAlignment="1">
      <alignment horizontal="center" vertical="center" wrapText="1"/>
    </xf>
    <xf numFmtId="0" fontId="38" fillId="4" borderId="0" xfId="0" applyFont="1" applyFill="1" applyAlignment="1">
      <alignment horizontal="left" vertical="center" wrapText="1"/>
    </xf>
    <xf numFmtId="0" fontId="40" fillId="4" borderId="6" xfId="0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42" fillId="0" borderId="0" xfId="0" applyFont="1" applyAlignment="1">
      <alignment vertical="center"/>
    </xf>
    <xf numFmtId="0" fontId="43" fillId="5" borderId="0" xfId="0" applyFont="1" applyFill="1" applyAlignment="1">
      <alignment horizontal="center" vertical="center" wrapText="1"/>
    </xf>
    <xf numFmtId="0" fontId="43" fillId="5" borderId="0" xfId="0" applyFont="1" applyFill="1" applyAlignment="1">
      <alignment horizontal="left" vertical="center" wrapText="1"/>
    </xf>
    <xf numFmtId="0" fontId="44" fillId="5" borderId="7" xfId="0" applyFont="1" applyFill="1" applyBorder="1" applyAlignment="1">
      <alignment horizontal="center" vertical="center"/>
    </xf>
    <xf numFmtId="0" fontId="44" fillId="5" borderId="8" xfId="0" applyFont="1" applyFill="1" applyBorder="1" applyAlignment="1">
      <alignment horizontal="center" vertical="center"/>
    </xf>
    <xf numFmtId="0" fontId="44" fillId="6" borderId="8" xfId="0" applyFont="1" applyFill="1" applyBorder="1" applyAlignment="1">
      <alignment horizontal="center" vertical="center"/>
    </xf>
    <xf numFmtId="0" fontId="44" fillId="6" borderId="9" xfId="0" applyFont="1" applyFill="1" applyBorder="1" applyAlignment="1">
      <alignment horizontal="center" vertical="center"/>
    </xf>
    <xf numFmtId="0" fontId="44" fillId="7" borderId="7" xfId="0" applyFont="1" applyFill="1" applyBorder="1" applyAlignment="1">
      <alignment horizontal="center" vertical="center"/>
    </xf>
    <xf numFmtId="0" fontId="44" fillId="7" borderId="8" xfId="0" applyFont="1" applyFill="1" applyBorder="1" applyAlignment="1">
      <alignment horizontal="center" vertical="center"/>
    </xf>
    <xf numFmtId="0" fontId="44" fillId="5" borderId="9" xfId="0" applyFont="1" applyFill="1" applyBorder="1" applyAlignment="1">
      <alignment horizontal="center" vertical="center"/>
    </xf>
    <xf numFmtId="0" fontId="44" fillId="0" borderId="0" xfId="0" applyFont="1" applyAlignment="1">
      <alignment vertical="center"/>
    </xf>
    <xf numFmtId="0" fontId="45" fillId="5" borderId="0" xfId="0" applyFont="1" applyFill="1" applyAlignment="1">
      <alignment horizontal="center" vertical="center" wrapText="1"/>
    </xf>
    <xf numFmtId="0" fontId="46" fillId="5" borderId="0" xfId="0" applyFont="1" applyFill="1" applyAlignment="1">
      <alignment horizontal="left" vertical="center" wrapText="1"/>
    </xf>
    <xf numFmtId="0" fontId="45" fillId="5" borderId="0" xfId="0" applyFont="1" applyFill="1" applyAlignment="1">
      <alignment horizontal="left" vertical="center" wrapText="1"/>
    </xf>
    <xf numFmtId="168" fontId="44" fillId="6" borderId="7" xfId="0" applyNumberFormat="1" applyFont="1" applyFill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0" fontId="48" fillId="9" borderId="0" xfId="0" applyFont="1" applyFill="1" applyAlignment="1">
      <alignment horizontal="center" vertical="center"/>
    </xf>
    <xf numFmtId="166" fontId="51" fillId="3" borderId="11" xfId="0" applyNumberFormat="1" applyFont="1" applyFill="1" applyBorder="1" applyAlignment="1">
      <alignment horizontal="center" vertical="center"/>
    </xf>
    <xf numFmtId="166" fontId="51" fillId="3" borderId="12" xfId="0" applyNumberFormat="1" applyFont="1" applyFill="1" applyBorder="1" applyAlignment="1">
      <alignment horizontal="center" vertical="center"/>
    </xf>
    <xf numFmtId="166" fontId="51" fillId="0" borderId="12" xfId="0" applyNumberFormat="1" applyFont="1" applyBorder="1" applyAlignment="1">
      <alignment horizontal="center" vertical="center"/>
    </xf>
    <xf numFmtId="166" fontId="52" fillId="0" borderId="13" xfId="0" applyNumberFormat="1" applyFont="1" applyBorder="1" applyAlignment="1">
      <alignment horizontal="center" vertical="center"/>
    </xf>
    <xf numFmtId="166" fontId="51" fillId="3" borderId="14" xfId="0" applyNumberFormat="1" applyFont="1" applyFill="1" applyBorder="1" applyAlignment="1">
      <alignment horizontal="center" vertical="center"/>
    </xf>
    <xf numFmtId="166" fontId="52" fillId="0" borderId="15" xfId="0" applyNumberFormat="1" applyFont="1" applyBorder="1" applyAlignment="1">
      <alignment horizontal="center" vertical="center"/>
    </xf>
    <xf numFmtId="166" fontId="53" fillId="3" borderId="12" xfId="0" applyNumberFormat="1" applyFont="1" applyFill="1" applyBorder="1" applyAlignment="1">
      <alignment horizontal="center" vertical="center"/>
    </xf>
    <xf numFmtId="166" fontId="51" fillId="3" borderId="12" xfId="0" applyNumberFormat="1" applyFont="1" applyFill="1" applyBorder="1" applyAlignment="1">
      <alignment horizontal="center" vertical="center"/>
    </xf>
    <xf numFmtId="166" fontId="51" fillId="3" borderId="13" xfId="0" applyNumberFormat="1" applyFont="1" applyFill="1" applyBorder="1" applyAlignment="1">
      <alignment horizontal="center" vertical="center"/>
    </xf>
    <xf numFmtId="166" fontId="51" fillId="3" borderId="16" xfId="0" applyNumberFormat="1" applyFont="1" applyFill="1" applyBorder="1" applyAlignment="1">
      <alignment horizontal="center" vertical="center"/>
    </xf>
    <xf numFmtId="166" fontId="44" fillId="0" borderId="17" xfId="0" applyNumberFormat="1" applyFont="1" applyBorder="1" applyAlignment="1">
      <alignment horizontal="center" vertical="center"/>
    </xf>
    <xf numFmtId="0" fontId="51" fillId="0" borderId="0" xfId="0" applyFont="1" applyAlignment="1">
      <alignment horizontal="left" vertical="center"/>
    </xf>
    <xf numFmtId="0" fontId="54" fillId="0" borderId="18" xfId="0" applyFont="1" applyBorder="1" applyAlignment="1">
      <alignment horizontal="right" vertical="center"/>
    </xf>
    <xf numFmtId="166" fontId="54" fillId="0" borderId="19" xfId="0" applyNumberFormat="1" applyFont="1" applyBorder="1" applyAlignment="1">
      <alignment horizontal="left" vertical="center"/>
    </xf>
    <xf numFmtId="0" fontId="51" fillId="0" borderId="0" xfId="0" applyFont="1" applyAlignment="1">
      <alignment vertical="center"/>
    </xf>
    <xf numFmtId="166" fontId="51" fillId="3" borderId="16" xfId="0" applyNumberFormat="1" applyFont="1" applyFill="1" applyBorder="1" applyAlignment="1">
      <alignment horizontal="center" vertical="center"/>
    </xf>
    <xf numFmtId="0" fontId="54" fillId="0" borderId="20" xfId="0" applyFont="1" applyBorder="1" applyAlignment="1">
      <alignment horizontal="right" vertical="center"/>
    </xf>
    <xf numFmtId="3" fontId="54" fillId="0" borderId="10" xfId="0" applyNumberFormat="1" applyFont="1" applyBorder="1" applyAlignment="1">
      <alignment horizontal="left" vertical="center"/>
    </xf>
    <xf numFmtId="0" fontId="55" fillId="0" borderId="0" xfId="0" applyFont="1" applyAlignment="1">
      <alignment vertical="center"/>
    </xf>
    <xf numFmtId="0" fontId="48" fillId="9" borderId="21" xfId="0" applyFont="1" applyFill="1" applyBorder="1" applyAlignment="1">
      <alignment horizontal="center" vertical="center"/>
    </xf>
    <xf numFmtId="166" fontId="51" fillId="10" borderId="23" xfId="0" applyNumberFormat="1" applyFont="1" applyFill="1" applyBorder="1" applyAlignment="1">
      <alignment horizontal="center" vertical="center"/>
    </xf>
    <xf numFmtId="166" fontId="51" fillId="10" borderId="24" xfId="0" applyNumberFormat="1" applyFont="1" applyFill="1" applyBorder="1" applyAlignment="1">
      <alignment horizontal="center" vertical="center"/>
    </xf>
    <xf numFmtId="166" fontId="51" fillId="10" borderId="25" xfId="0" applyNumberFormat="1" applyFont="1" applyFill="1" applyBorder="1" applyAlignment="1">
      <alignment horizontal="center" vertical="center"/>
    </xf>
    <xf numFmtId="166" fontId="51" fillId="10" borderId="26" xfId="0" applyNumberFormat="1" applyFont="1" applyFill="1" applyBorder="1" applyAlignment="1">
      <alignment horizontal="center" vertical="center"/>
    </xf>
    <xf numFmtId="0" fontId="44" fillId="11" borderId="17" xfId="0" applyFont="1" applyFill="1" applyBorder="1" applyAlignment="1">
      <alignment horizontal="center" vertical="center"/>
    </xf>
    <xf numFmtId="10" fontId="54" fillId="0" borderId="10" xfId="0" applyNumberFormat="1" applyFont="1" applyBorder="1" applyAlignment="1">
      <alignment horizontal="left" vertical="center"/>
    </xf>
    <xf numFmtId="166" fontId="57" fillId="0" borderId="27" xfId="0" applyNumberFormat="1" applyFont="1" applyBorder="1" applyAlignment="1">
      <alignment horizontal="center" vertical="center"/>
    </xf>
    <xf numFmtId="166" fontId="57" fillId="0" borderId="28" xfId="0" applyNumberFormat="1" applyFont="1" applyBorder="1" applyAlignment="1">
      <alignment horizontal="center" vertical="center"/>
    </xf>
    <xf numFmtId="166" fontId="57" fillId="0" borderId="29" xfId="0" applyNumberFormat="1" applyFont="1" applyBorder="1" applyAlignment="1">
      <alignment horizontal="center" vertical="center"/>
    </xf>
    <xf numFmtId="166" fontId="57" fillId="0" borderId="30" xfId="0" applyNumberFormat="1" applyFont="1" applyBorder="1" applyAlignment="1">
      <alignment horizontal="center" vertical="center"/>
    </xf>
    <xf numFmtId="166" fontId="52" fillId="12" borderId="31" xfId="0" applyNumberFormat="1" applyFont="1" applyFill="1" applyBorder="1" applyAlignment="1">
      <alignment horizontal="right" vertical="center"/>
    </xf>
    <xf numFmtId="166" fontId="52" fillId="12" borderId="32" xfId="0" applyNumberFormat="1" applyFont="1" applyFill="1" applyBorder="1" applyAlignment="1">
      <alignment horizontal="right" vertical="center"/>
    </xf>
    <xf numFmtId="166" fontId="52" fillId="13" borderId="33" xfId="0" applyNumberFormat="1" applyFont="1" applyFill="1" applyBorder="1" applyAlignment="1">
      <alignment horizontal="right" vertical="center"/>
    </xf>
    <xf numFmtId="166" fontId="52" fillId="12" borderId="33" xfId="0" applyNumberFormat="1" applyFont="1" applyFill="1" applyBorder="1" applyAlignment="1">
      <alignment horizontal="right" vertical="center"/>
    </xf>
    <xf numFmtId="166" fontId="52" fillId="13" borderId="34" xfId="0" applyNumberFormat="1" applyFont="1" applyFill="1" applyBorder="1" applyAlignment="1">
      <alignment horizontal="right" vertical="center"/>
    </xf>
    <xf numFmtId="166" fontId="52" fillId="13" borderId="29" xfId="0" applyNumberFormat="1" applyFont="1" applyFill="1" applyBorder="1" applyAlignment="1">
      <alignment horizontal="right" vertical="center"/>
    </xf>
    <xf numFmtId="166" fontId="52" fillId="12" borderId="35" xfId="0" applyNumberFormat="1" applyFont="1" applyFill="1" applyBorder="1" applyAlignment="1">
      <alignment horizontal="right" vertical="center"/>
    </xf>
    <xf numFmtId="166" fontId="52" fillId="12" borderId="28" xfId="0" applyNumberFormat="1" applyFont="1" applyFill="1" applyBorder="1" applyAlignment="1">
      <alignment horizontal="right" vertical="center"/>
    </xf>
    <xf numFmtId="166" fontId="52" fillId="13" borderId="32" xfId="0" applyNumberFormat="1" applyFont="1" applyFill="1" applyBorder="1" applyAlignment="1">
      <alignment horizontal="right" vertical="center"/>
    </xf>
    <xf numFmtId="166" fontId="52" fillId="12" borderId="36" xfId="0" applyNumberFormat="1" applyFont="1" applyFill="1" applyBorder="1" applyAlignment="1">
      <alignment horizontal="right" vertical="center"/>
    </xf>
    <xf numFmtId="0" fontId="54" fillId="0" borderId="37" xfId="0" applyFont="1" applyBorder="1" applyAlignment="1">
      <alignment horizontal="right" vertical="center"/>
    </xf>
    <xf numFmtId="10" fontId="54" fillId="0" borderId="38" xfId="0" applyNumberFormat="1" applyFont="1" applyBorder="1" applyAlignment="1">
      <alignment horizontal="left" vertical="center"/>
    </xf>
    <xf numFmtId="166" fontId="52" fillId="12" borderId="39" xfId="0" applyNumberFormat="1" applyFont="1" applyFill="1" applyBorder="1" applyAlignment="1">
      <alignment horizontal="right" vertical="center"/>
    </xf>
    <xf numFmtId="166" fontId="52" fillId="12" borderId="40" xfId="0" applyNumberFormat="1" applyFont="1" applyFill="1" applyBorder="1" applyAlignment="1">
      <alignment horizontal="right" vertical="center"/>
    </xf>
    <xf numFmtId="166" fontId="52" fillId="13" borderId="36" xfId="0" applyNumberFormat="1" applyFont="1" applyFill="1" applyBorder="1" applyAlignment="1">
      <alignment horizontal="right" vertical="center"/>
    </xf>
    <xf numFmtId="166" fontId="58" fillId="0" borderId="0" xfId="0" applyNumberFormat="1" applyFont="1" applyAlignment="1">
      <alignment horizontal="left" vertical="center"/>
    </xf>
    <xf numFmtId="0" fontId="53" fillId="0" borderId="0" xfId="0" applyFont="1" applyAlignment="1">
      <alignment horizontal="left" vertical="center"/>
    </xf>
    <xf numFmtId="0" fontId="59" fillId="0" borderId="0" xfId="0" applyFont="1" applyAlignment="1">
      <alignment vertical="center"/>
    </xf>
    <xf numFmtId="166" fontId="52" fillId="13" borderId="12" xfId="0" applyNumberFormat="1" applyFont="1" applyFill="1" applyBorder="1" applyAlignment="1">
      <alignment horizontal="right" vertical="center"/>
    </xf>
    <xf numFmtId="166" fontId="60" fillId="3" borderId="27" xfId="0" applyNumberFormat="1" applyFont="1" applyFill="1" applyBorder="1" applyAlignment="1">
      <alignment horizontal="center" vertical="center"/>
    </xf>
    <xf numFmtId="166" fontId="53" fillId="3" borderId="41" xfId="0" applyNumberFormat="1" applyFont="1" applyFill="1" applyBorder="1" applyAlignment="1">
      <alignment horizontal="center" vertical="center"/>
    </xf>
    <xf numFmtId="166" fontId="53" fillId="3" borderId="14" xfId="0" applyNumberFormat="1" applyFont="1" applyFill="1" applyBorder="1" applyAlignment="1">
      <alignment horizontal="center" vertical="center"/>
    </xf>
    <xf numFmtId="166" fontId="53" fillId="3" borderId="16" xfId="0" applyNumberFormat="1" applyFont="1" applyFill="1" applyBorder="1" applyAlignment="1">
      <alignment horizontal="center" vertical="center"/>
    </xf>
    <xf numFmtId="166" fontId="53" fillId="3" borderId="13" xfId="0" applyNumberFormat="1" applyFont="1" applyFill="1" applyBorder="1" applyAlignment="1">
      <alignment horizontal="center" vertical="center"/>
    </xf>
    <xf numFmtId="166" fontId="57" fillId="3" borderId="33" xfId="0" applyNumberFormat="1" applyFont="1" applyFill="1" applyBorder="1" applyAlignment="1">
      <alignment horizontal="center" vertical="center"/>
    </xf>
    <xf numFmtId="166" fontId="53" fillId="3" borderId="11" xfId="0" applyNumberFormat="1" applyFont="1" applyFill="1" applyBorder="1" applyAlignment="1">
      <alignment horizontal="center" vertical="center"/>
    </xf>
    <xf numFmtId="166" fontId="57" fillId="3" borderId="42" xfId="0" applyNumberFormat="1" applyFont="1" applyFill="1" applyBorder="1" applyAlignment="1">
      <alignment horizontal="center" vertical="center"/>
    </xf>
    <xf numFmtId="166" fontId="57" fillId="0" borderId="33" xfId="0" applyNumberFormat="1" applyFont="1" applyBorder="1" applyAlignment="1">
      <alignment horizontal="center" vertical="center"/>
    </xf>
    <xf numFmtId="4" fontId="54" fillId="0" borderId="10" xfId="0" applyNumberFormat="1" applyFont="1" applyBorder="1" applyAlignment="1">
      <alignment horizontal="left" vertical="center"/>
    </xf>
    <xf numFmtId="166" fontId="52" fillId="3" borderId="43" xfId="0" applyNumberFormat="1" applyFont="1" applyFill="1" applyBorder="1" applyAlignment="1">
      <alignment horizontal="center" vertical="center"/>
    </xf>
    <xf numFmtId="166" fontId="52" fillId="3" borderId="44" xfId="0" applyNumberFormat="1" applyFont="1" applyFill="1" applyBorder="1" applyAlignment="1">
      <alignment horizontal="center" vertical="center"/>
    </xf>
    <xf numFmtId="166" fontId="52" fillId="3" borderId="27" xfId="0" applyNumberFormat="1" applyFont="1" applyFill="1" applyBorder="1" applyAlignment="1">
      <alignment horizontal="center" vertical="center"/>
    </xf>
    <xf numFmtId="166" fontId="52" fillId="0" borderId="43" xfId="0" applyNumberFormat="1" applyFont="1" applyBorder="1" applyAlignment="1">
      <alignment horizontal="left" vertical="center"/>
    </xf>
    <xf numFmtId="166" fontId="52" fillId="0" borderId="43" xfId="0" applyNumberFormat="1" applyFont="1" applyBorder="1" applyAlignment="1">
      <alignment horizontal="center" vertical="center"/>
    </xf>
    <xf numFmtId="166" fontId="52" fillId="0" borderId="45" xfId="0" applyNumberFormat="1" applyFont="1" applyBorder="1" applyAlignment="1">
      <alignment horizontal="center" vertical="center"/>
    </xf>
    <xf numFmtId="166" fontId="57" fillId="3" borderId="32" xfId="0" applyNumberFormat="1" applyFont="1" applyFill="1" applyBorder="1" applyAlignment="1">
      <alignment horizontal="center" vertical="center"/>
    </xf>
    <xf numFmtId="166" fontId="57" fillId="3" borderId="16" xfId="0" applyNumberFormat="1" applyFont="1" applyFill="1" applyBorder="1" applyAlignment="1">
      <alignment horizontal="center" vertical="center"/>
    </xf>
    <xf numFmtId="166" fontId="57" fillId="3" borderId="12" xfId="0" applyNumberFormat="1" applyFont="1" applyFill="1" applyBorder="1" applyAlignment="1">
      <alignment horizontal="center" vertical="center"/>
    </xf>
    <xf numFmtId="0" fontId="48" fillId="9" borderId="46" xfId="0" applyFont="1" applyFill="1" applyBorder="1" applyAlignment="1">
      <alignment horizontal="center" vertical="center"/>
    </xf>
    <xf numFmtId="166" fontId="57" fillId="14" borderId="48" xfId="0" applyNumberFormat="1" applyFont="1" applyFill="1" applyBorder="1" applyAlignment="1">
      <alignment horizontal="center" vertical="center"/>
    </xf>
    <xf numFmtId="166" fontId="57" fillId="14" borderId="47" xfId="0" applyNumberFormat="1" applyFont="1" applyFill="1" applyBorder="1" applyAlignment="1">
      <alignment horizontal="center" vertical="center"/>
    </xf>
    <xf numFmtId="166" fontId="54" fillId="0" borderId="10" xfId="0" applyNumberFormat="1" applyFont="1" applyBorder="1" applyAlignment="1">
      <alignment horizontal="left" vertical="center"/>
    </xf>
    <xf numFmtId="166" fontId="60" fillId="3" borderId="49" xfId="0" applyNumberFormat="1" applyFont="1" applyFill="1" applyBorder="1" applyAlignment="1">
      <alignment horizontal="center" vertical="center"/>
    </xf>
    <xf numFmtId="166" fontId="60" fillId="3" borderId="41" xfId="0" applyNumberFormat="1" applyFont="1" applyFill="1" applyBorder="1" applyAlignment="1">
      <alignment horizontal="center" vertical="center"/>
    </xf>
    <xf numFmtId="166" fontId="60" fillId="3" borderId="50" xfId="0" applyNumberFormat="1" applyFont="1" applyFill="1" applyBorder="1" applyAlignment="1">
      <alignment horizontal="center" vertical="center"/>
    </xf>
    <xf numFmtId="166" fontId="60" fillId="3" borderId="51" xfId="0" applyNumberFormat="1" applyFont="1" applyFill="1" applyBorder="1" applyAlignment="1">
      <alignment horizontal="center" vertical="center"/>
    </xf>
    <xf numFmtId="166" fontId="60" fillId="3" borderId="52" xfId="0" applyNumberFormat="1" applyFont="1" applyFill="1" applyBorder="1" applyAlignment="1">
      <alignment horizontal="center" vertical="center"/>
    </xf>
    <xf numFmtId="166" fontId="54" fillId="0" borderId="38" xfId="0" applyNumberFormat="1" applyFont="1" applyBorder="1" applyAlignment="1">
      <alignment horizontal="left" vertical="center"/>
    </xf>
    <xf numFmtId="166" fontId="60" fillId="3" borderId="11" xfId="0" applyNumberFormat="1" applyFont="1" applyFill="1" applyBorder="1" applyAlignment="1">
      <alignment horizontal="center" vertical="center"/>
    </xf>
    <xf numFmtId="166" fontId="60" fillId="3" borderId="12" xfId="0" applyNumberFormat="1" applyFont="1" applyFill="1" applyBorder="1" applyAlignment="1">
      <alignment horizontal="center" vertical="center"/>
    </xf>
    <xf numFmtId="166" fontId="60" fillId="3" borderId="14" xfId="0" applyNumberFormat="1" applyFont="1" applyFill="1" applyBorder="1" applyAlignment="1">
      <alignment horizontal="center" vertical="center"/>
    </xf>
    <xf numFmtId="166" fontId="60" fillId="3" borderId="16" xfId="0" applyNumberFormat="1" applyFont="1" applyFill="1" applyBorder="1" applyAlignment="1">
      <alignment horizontal="center" vertical="center"/>
    </xf>
    <xf numFmtId="166" fontId="60" fillId="3" borderId="13" xfId="0" applyNumberFormat="1" applyFont="1" applyFill="1" applyBorder="1" applyAlignment="1">
      <alignment horizontal="center" vertical="center"/>
    </xf>
    <xf numFmtId="0" fontId="60" fillId="0" borderId="0" xfId="0" applyFont="1" applyAlignment="1">
      <alignment horizontal="left" vertical="center"/>
    </xf>
    <xf numFmtId="0" fontId="48" fillId="9" borderId="53" xfId="0" applyFont="1" applyFill="1" applyBorder="1" applyAlignment="1">
      <alignment horizontal="center" vertical="center"/>
    </xf>
    <xf numFmtId="166" fontId="60" fillId="16" borderId="55" xfId="0" applyNumberFormat="1" applyFont="1" applyFill="1" applyBorder="1" applyAlignment="1">
      <alignment horizontal="center" vertical="center"/>
    </xf>
    <xf numFmtId="166" fontId="60" fillId="16" borderId="56" xfId="0" applyNumberFormat="1" applyFont="1" applyFill="1" applyBorder="1" applyAlignment="1">
      <alignment horizontal="center" vertical="center"/>
    </xf>
    <xf numFmtId="166" fontId="60" fillId="16" borderId="57" xfId="0" applyNumberFormat="1" applyFont="1" applyFill="1" applyBorder="1" applyAlignment="1">
      <alignment horizontal="center" vertical="center"/>
    </xf>
    <xf numFmtId="166" fontId="60" fillId="16" borderId="58" xfId="0" applyNumberFormat="1" applyFont="1" applyFill="1" applyBorder="1" applyAlignment="1">
      <alignment horizontal="center" vertical="center"/>
    </xf>
    <xf numFmtId="166" fontId="60" fillId="16" borderId="59" xfId="0" applyNumberFormat="1" applyFont="1" applyFill="1" applyBorder="1" applyAlignment="1">
      <alignment horizontal="center" vertical="center"/>
    </xf>
    <xf numFmtId="166" fontId="60" fillId="3" borderId="60" xfId="0" applyNumberFormat="1" applyFont="1" applyFill="1" applyBorder="1" applyAlignment="1">
      <alignment horizontal="center" vertical="center"/>
    </xf>
    <xf numFmtId="166" fontId="60" fillId="3" borderId="61" xfId="0" applyNumberFormat="1" applyFont="1" applyFill="1" applyBorder="1" applyAlignment="1">
      <alignment horizontal="center" vertical="center"/>
    </xf>
    <xf numFmtId="166" fontId="60" fillId="3" borderId="62" xfId="0" applyNumberFormat="1" applyFont="1" applyFill="1" applyBorder="1" applyAlignment="1">
      <alignment horizontal="center" vertical="center"/>
    </xf>
    <xf numFmtId="166" fontId="60" fillId="3" borderId="63" xfId="0" applyNumberFormat="1" applyFont="1" applyFill="1" applyBorder="1" applyAlignment="1">
      <alignment horizontal="center" vertical="center"/>
    </xf>
    <xf numFmtId="166" fontId="60" fillId="3" borderId="64" xfId="0" applyNumberFormat="1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 textRotation="90"/>
    </xf>
    <xf numFmtId="0" fontId="48" fillId="9" borderId="65" xfId="0" applyFont="1" applyFill="1" applyBorder="1" applyAlignment="1">
      <alignment horizontal="center" vertical="center"/>
    </xf>
    <xf numFmtId="166" fontId="60" fillId="3" borderId="67" xfId="0" applyNumberFormat="1" applyFont="1" applyFill="1" applyBorder="1" applyAlignment="1">
      <alignment horizontal="center" vertical="center"/>
    </xf>
    <xf numFmtId="166" fontId="60" fillId="3" borderId="68" xfId="0" applyNumberFormat="1" applyFont="1" applyFill="1" applyBorder="1" applyAlignment="1">
      <alignment horizontal="center" vertical="center"/>
    </xf>
    <xf numFmtId="166" fontId="60" fillId="3" borderId="69" xfId="0" applyNumberFormat="1" applyFont="1" applyFill="1" applyBorder="1" applyAlignment="1">
      <alignment horizontal="center" vertical="center"/>
    </xf>
    <xf numFmtId="166" fontId="60" fillId="3" borderId="70" xfId="0" applyNumberFormat="1" applyFont="1" applyFill="1" applyBorder="1" applyAlignment="1">
      <alignment horizontal="center" vertical="center"/>
    </xf>
    <xf numFmtId="0" fontId="48" fillId="3" borderId="0" xfId="0" applyFont="1" applyFill="1" applyAlignment="1">
      <alignment horizontal="center" vertical="center"/>
    </xf>
    <xf numFmtId="0" fontId="63" fillId="3" borderId="0" xfId="0" applyFont="1" applyFill="1" applyAlignment="1">
      <alignment horizontal="left" vertical="center" wrapText="1"/>
    </xf>
    <xf numFmtId="0" fontId="54" fillId="0" borderId="71" xfId="0" applyFont="1" applyBorder="1" applyAlignment="1">
      <alignment horizontal="right" vertical="center"/>
    </xf>
    <xf numFmtId="3" fontId="54" fillId="0" borderId="71" xfId="0" applyNumberFormat="1" applyFont="1" applyBorder="1" applyAlignment="1">
      <alignment horizontal="left" vertical="center"/>
    </xf>
    <xf numFmtId="0" fontId="54" fillId="0" borderId="0" xfId="0" applyFont="1" applyAlignment="1">
      <alignment horizontal="right" vertical="center"/>
    </xf>
    <xf numFmtId="166" fontId="54" fillId="0" borderId="0" xfId="0" applyNumberFormat="1" applyFont="1" applyAlignment="1">
      <alignment horizontal="left" vertical="center"/>
    </xf>
    <xf numFmtId="0" fontId="36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left" vertical="center"/>
    </xf>
    <xf numFmtId="0" fontId="2" fillId="0" borderId="72" xfId="0" applyFont="1" applyBorder="1"/>
    <xf numFmtId="0" fontId="2" fillId="0" borderId="72" xfId="0" applyFont="1" applyBorder="1" applyAlignment="1">
      <alignment horizontal="left" vertical="center"/>
    </xf>
    <xf numFmtId="0" fontId="2" fillId="0" borderId="72" xfId="0" applyFont="1" applyBorder="1" applyAlignment="1"/>
    <xf numFmtId="0" fontId="68" fillId="0" borderId="72" xfId="0" applyFont="1" applyBorder="1" applyAlignment="1"/>
    <xf numFmtId="0" fontId="69" fillId="0" borderId="72" xfId="0" applyFont="1" applyBorder="1" applyAlignment="1">
      <alignment vertical="center"/>
    </xf>
    <xf numFmtId="0" fontId="69" fillId="0" borderId="76" xfId="0" applyFont="1" applyBorder="1" applyAlignment="1">
      <alignment vertical="center"/>
    </xf>
    <xf numFmtId="0" fontId="69" fillId="0" borderId="77" xfId="0" applyFont="1" applyBorder="1" applyAlignment="1">
      <alignment vertical="center"/>
    </xf>
    <xf numFmtId="0" fontId="69" fillId="0" borderId="78" xfId="0" applyFont="1" applyBorder="1" applyAlignment="1">
      <alignment vertical="center"/>
    </xf>
    <xf numFmtId="0" fontId="70" fillId="0" borderId="72" xfId="0" applyFont="1" applyBorder="1" applyAlignment="1">
      <alignment vertical="center"/>
    </xf>
    <xf numFmtId="0" fontId="70" fillId="0" borderId="79" xfId="0" applyFont="1" applyBorder="1" applyAlignment="1">
      <alignment vertical="center"/>
    </xf>
    <xf numFmtId="0" fontId="71" fillId="0" borderId="79" xfId="0" applyFont="1" applyBorder="1" applyAlignment="1">
      <alignment vertical="center"/>
    </xf>
    <xf numFmtId="0" fontId="70" fillId="0" borderId="72" xfId="0" applyFont="1" applyBorder="1"/>
    <xf numFmtId="0" fontId="72" fillId="0" borderId="72" xfId="0" applyFont="1" applyBorder="1" applyAlignment="1">
      <alignment horizontal="left" vertical="center"/>
    </xf>
    <xf numFmtId="0" fontId="70" fillId="0" borderId="0" xfId="0" applyFont="1"/>
    <xf numFmtId="0" fontId="71" fillId="0" borderId="72" xfId="0" applyFont="1" applyBorder="1" applyAlignment="1">
      <alignment horizontal="left" vertical="center"/>
    </xf>
    <xf numFmtId="0" fontId="70" fillId="0" borderId="72" xfId="0" applyFont="1" applyBorder="1" applyAlignment="1">
      <alignment horizontal="left" vertical="center"/>
    </xf>
    <xf numFmtId="0" fontId="70" fillId="0" borderId="72" xfId="0" applyFont="1" applyBorder="1" applyAlignment="1">
      <alignment horizontal="left"/>
    </xf>
    <xf numFmtId="0" fontId="71" fillId="0" borderId="72" xfId="0" applyFont="1" applyBorder="1" applyAlignment="1">
      <alignment horizontal="left" vertical="center"/>
    </xf>
    <xf numFmtId="0" fontId="71" fillId="0" borderId="72" xfId="0" applyFont="1" applyBorder="1"/>
    <xf numFmtId="14" fontId="70" fillId="0" borderId="72" xfId="0" applyNumberFormat="1" applyFont="1" applyBorder="1" applyAlignment="1"/>
    <xf numFmtId="169" fontId="70" fillId="0" borderId="72" xfId="0" applyNumberFormat="1" applyFont="1" applyBorder="1" applyAlignment="1"/>
    <xf numFmtId="0" fontId="70" fillId="0" borderId="80" xfId="0" applyFont="1" applyBorder="1"/>
    <xf numFmtId="0" fontId="70" fillId="0" borderId="81" xfId="0" applyFont="1" applyBorder="1"/>
    <xf numFmtId="0" fontId="71" fillId="0" borderId="81" xfId="0" applyFont="1" applyBorder="1" applyAlignment="1">
      <alignment horizontal="left" vertical="center"/>
    </xf>
    <xf numFmtId="0" fontId="70" fillId="0" borderId="82" xfId="0" applyFont="1" applyBorder="1" applyAlignment="1">
      <alignment horizontal="left" vertical="center"/>
    </xf>
    <xf numFmtId="0" fontId="69" fillId="0" borderId="76" xfId="0" applyFont="1" applyBorder="1" applyAlignment="1">
      <alignment vertical="center"/>
    </xf>
    <xf numFmtId="0" fontId="70" fillId="0" borderId="79" xfId="0" applyFont="1" applyBorder="1"/>
    <xf numFmtId="0" fontId="70" fillId="0" borderId="79" xfId="0" applyFont="1" applyBorder="1" applyAlignment="1">
      <alignment horizontal="left" vertical="center"/>
    </xf>
    <xf numFmtId="0" fontId="71" fillId="0" borderId="79" xfId="0" applyFont="1" applyBorder="1" applyAlignment="1">
      <alignment horizontal="left"/>
    </xf>
    <xf numFmtId="0" fontId="70" fillId="0" borderId="79" xfId="0" applyFont="1" applyBorder="1" applyAlignment="1">
      <alignment horizontal="left"/>
    </xf>
    <xf numFmtId="0" fontId="71" fillId="0" borderId="72" xfId="0" applyFont="1" applyBorder="1" applyAlignment="1">
      <alignment horizontal="left"/>
    </xf>
    <xf numFmtId="0" fontId="71" fillId="0" borderId="72" xfId="0" applyFont="1" applyBorder="1" applyAlignment="1">
      <alignment horizontal="left"/>
    </xf>
    <xf numFmtId="2" fontId="70" fillId="0" borderId="72" xfId="0" applyNumberFormat="1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0" fillId="0" borderId="0" xfId="0" applyFont="1" applyAlignment="1"/>
    <xf numFmtId="14" fontId="6" fillId="0" borderId="0" xfId="0" applyNumberFormat="1" applyFont="1" applyAlignment="1">
      <alignment horizontal="left" vertical="center"/>
    </xf>
    <xf numFmtId="0" fontId="6" fillId="0" borderId="0" xfId="0" applyFont="1" applyAlignment="1"/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8" fillId="0" borderId="0" xfId="0" applyFont="1" applyAlignment="1"/>
    <xf numFmtId="0" fontId="10" fillId="0" borderId="0" xfId="0" applyFont="1" applyAlignment="1">
      <alignment vertical="center"/>
    </xf>
    <xf numFmtId="0" fontId="63" fillId="9" borderId="0" xfId="0" applyFont="1" applyFill="1" applyAlignment="1">
      <alignment horizontal="left" vertical="center" wrapText="1"/>
    </xf>
    <xf numFmtId="166" fontId="63" fillId="3" borderId="7" xfId="0" applyNumberFormat="1" applyFont="1" applyFill="1" applyBorder="1" applyAlignment="1">
      <alignment horizontal="left" vertical="center" wrapText="1"/>
    </xf>
    <xf numFmtId="0" fontId="27" fillId="0" borderId="8" xfId="0" applyFont="1" applyBorder="1"/>
    <xf numFmtId="0" fontId="27" fillId="0" borderId="9" xfId="0" applyFont="1" applyBorder="1"/>
    <xf numFmtId="0" fontId="39" fillId="4" borderId="5" xfId="0" applyFont="1" applyFill="1" applyBorder="1" applyAlignment="1">
      <alignment horizontal="center" vertical="center"/>
    </xf>
    <xf numFmtId="0" fontId="27" fillId="0" borderId="6" xfId="0" applyFont="1" applyBorder="1"/>
    <xf numFmtId="0" fontId="41" fillId="4" borderId="0" xfId="0" applyFont="1" applyFill="1" applyAlignment="1">
      <alignment horizontal="center" vertical="center" textRotation="90"/>
    </xf>
    <xf numFmtId="0" fontId="44" fillId="5" borderId="6" xfId="0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26" fillId="3" borderId="3" xfId="0" applyFont="1" applyFill="1" applyBorder="1" applyAlignment="1">
      <alignment vertical="center"/>
    </xf>
    <xf numFmtId="0" fontId="27" fillId="0" borderId="3" xfId="0" applyFont="1" applyBorder="1"/>
    <xf numFmtId="0" fontId="28" fillId="3" borderId="3" xfId="0" applyFont="1" applyFill="1" applyBorder="1" applyAlignment="1">
      <alignment vertical="center"/>
    </xf>
    <xf numFmtId="0" fontId="16" fillId="0" borderId="4" xfId="0" applyFont="1" applyBorder="1" applyAlignment="1">
      <alignment horizontal="left" vertical="center"/>
    </xf>
    <xf numFmtId="0" fontId="27" fillId="0" borderId="4" xfId="0" applyFont="1" applyBorder="1"/>
    <xf numFmtId="0" fontId="35" fillId="0" borderId="4" xfId="0" applyFont="1" applyBorder="1" applyAlignment="1">
      <alignment horizontal="left" vertical="center"/>
    </xf>
    <xf numFmtId="167" fontId="35" fillId="0" borderId="4" xfId="0" applyNumberFormat="1" applyFont="1" applyBorder="1" applyAlignment="1">
      <alignment horizontal="left" vertical="center"/>
    </xf>
    <xf numFmtId="0" fontId="49" fillId="9" borderId="0" xfId="0" applyFont="1" applyFill="1" applyAlignment="1">
      <alignment horizontal="left" vertical="center" wrapText="1"/>
    </xf>
    <xf numFmtId="0" fontId="27" fillId="0" borderId="21" xfId="0" applyFont="1" applyBorder="1"/>
    <xf numFmtId="0" fontId="56" fillId="9" borderId="0" xfId="0" applyFont="1" applyFill="1" applyAlignment="1">
      <alignment horizontal="left" vertical="center" wrapText="1"/>
    </xf>
    <xf numFmtId="0" fontId="27" fillId="0" borderId="46" xfId="0" applyFont="1" applyBorder="1"/>
    <xf numFmtId="0" fontId="61" fillId="9" borderId="0" xfId="0" applyFont="1" applyFill="1" applyAlignment="1">
      <alignment horizontal="left" vertical="center" wrapText="1"/>
    </xf>
    <xf numFmtId="0" fontId="27" fillId="0" borderId="53" xfId="0" applyFont="1" applyBorder="1"/>
    <xf numFmtId="0" fontId="27" fillId="0" borderId="65" xfId="0" applyFont="1" applyBorder="1"/>
    <xf numFmtId="0" fontId="57" fillId="9" borderId="0" xfId="0" applyFont="1" applyFill="1" applyAlignment="1">
      <alignment horizontal="left" vertical="center" wrapText="1"/>
    </xf>
    <xf numFmtId="0" fontId="27" fillId="0" borderId="10" xfId="0" applyFont="1" applyBorder="1"/>
    <xf numFmtId="0" fontId="62" fillId="9" borderId="0" xfId="0" applyFont="1" applyFill="1" applyAlignment="1">
      <alignment horizontal="left" vertical="center" wrapText="1"/>
    </xf>
    <xf numFmtId="0" fontId="62" fillId="9" borderId="53" xfId="0" applyFont="1" applyFill="1" applyBorder="1" applyAlignment="1">
      <alignment horizontal="left" vertical="center" wrapText="1"/>
    </xf>
    <xf numFmtId="0" fontId="27" fillId="0" borderId="54" xfId="0" applyFont="1" applyBorder="1"/>
    <xf numFmtId="0" fontId="64" fillId="9" borderId="0" xfId="0" applyFont="1" applyFill="1" applyAlignment="1">
      <alignment horizontal="left" vertical="center" wrapText="1"/>
    </xf>
    <xf numFmtId="0" fontId="64" fillId="9" borderId="65" xfId="0" applyFont="1" applyFill="1" applyBorder="1" applyAlignment="1">
      <alignment horizontal="left" vertical="center" wrapText="1"/>
    </xf>
    <xf numFmtId="0" fontId="27" fillId="0" borderId="66" xfId="0" applyFont="1" applyBorder="1"/>
    <xf numFmtId="0" fontId="48" fillId="12" borderId="0" xfId="0" applyFont="1" applyFill="1" applyAlignment="1">
      <alignment horizontal="center" vertical="center"/>
    </xf>
    <xf numFmtId="0" fontId="48" fillId="15" borderId="0" xfId="0" applyFont="1" applyFill="1" applyAlignment="1">
      <alignment horizontal="center" vertical="center"/>
    </xf>
    <xf numFmtId="0" fontId="48" fillId="17" borderId="0" xfId="0" applyFont="1" applyFill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 wrapText="1"/>
    </xf>
    <xf numFmtId="0" fontId="45" fillId="5" borderId="0" xfId="0" applyFont="1" applyFill="1" applyAlignment="1">
      <alignment horizontal="center" vertical="center" wrapText="1"/>
    </xf>
    <xf numFmtId="0" fontId="48" fillId="8" borderId="0" xfId="0" applyFont="1" applyFill="1" applyAlignment="1">
      <alignment horizontal="center" vertical="center"/>
    </xf>
    <xf numFmtId="0" fontId="50" fillId="9" borderId="0" xfId="0" applyFont="1" applyFill="1" applyAlignment="1">
      <alignment horizontal="left" vertical="center" wrapText="1"/>
    </xf>
    <xf numFmtId="0" fontId="50" fillId="9" borderId="21" xfId="0" applyFont="1" applyFill="1" applyBorder="1" applyAlignment="1">
      <alignment horizontal="left" vertical="center" wrapText="1"/>
    </xf>
    <xf numFmtId="0" fontId="27" fillId="0" borderId="22" xfId="0" applyFont="1" applyBorder="1"/>
    <xf numFmtId="0" fontId="57" fillId="9" borderId="46" xfId="0" applyFont="1" applyFill="1" applyBorder="1" applyAlignment="1">
      <alignment horizontal="left" vertical="center" wrapText="1"/>
    </xf>
    <xf numFmtId="0" fontId="27" fillId="0" borderId="47" xfId="0" applyFont="1" applyBorder="1"/>
    <xf numFmtId="0" fontId="66" fillId="0" borderId="73" xfId="0" applyFont="1" applyBorder="1" applyAlignment="1"/>
    <xf numFmtId="0" fontId="27" fillId="0" borderId="74" xfId="0" applyFont="1" applyBorder="1"/>
    <xf numFmtId="0" fontId="67" fillId="0" borderId="73" xfId="0" applyFont="1" applyBorder="1" applyAlignment="1">
      <alignment horizontal="right" vertical="center" wrapText="1"/>
    </xf>
    <xf numFmtId="0" fontId="27" fillId="0" borderId="75" xfId="0" applyFont="1" applyBorder="1"/>
    <xf numFmtId="0" fontId="73" fillId="0" borderId="72" xfId="0" applyFont="1" applyBorder="1" applyAlignment="1">
      <alignment horizontal="left" vertical="center"/>
    </xf>
    <xf numFmtId="166" fontId="70" fillId="0" borderId="72" xfId="0" applyNumberFormat="1" applyFont="1" applyBorder="1" applyAlignment="1">
      <alignment horizontal="right"/>
    </xf>
    <xf numFmtId="166" fontId="70" fillId="0" borderId="72" xfId="0" applyNumberFormat="1" applyFont="1" applyBorder="1" applyAlignment="1">
      <alignment horizontal="right" vertical="center"/>
    </xf>
    <xf numFmtId="166" fontId="74" fillId="0" borderId="72" xfId="0" applyNumberFormat="1" applyFont="1" applyBorder="1" applyAlignment="1">
      <alignment horizontal="right" vertical="center"/>
    </xf>
    <xf numFmtId="0" fontId="70" fillId="0" borderId="72" xfId="0" applyFont="1" applyBorder="1" applyAlignment="1">
      <alignment horizontal="right" vertical="center"/>
    </xf>
    <xf numFmtId="0" fontId="70" fillId="0" borderId="72" xfId="0" applyFont="1" applyBorder="1" applyAlignment="1">
      <alignment horizontal="right"/>
    </xf>
  </cellXfs>
  <cellStyles count="1">
    <cellStyle name="Normal" xfId="0" builtinId="0"/>
  </cellStyles>
  <dxfs count="5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2">
    <tableStyle name="Financial Summary Report-style" pivot="0" count="2" xr9:uid="{00000000-0011-0000-FFFF-FFFF00000000}">
      <tableStyleElement type="firstRowStripe" dxfId="4"/>
      <tableStyleElement type="secondRowStripe" dxfId="3"/>
    </tableStyle>
    <tableStyle name="Financial Summary Report-style 2" pivot="0" count="2" xr9:uid="{00000000-0011-0000-FFFF-FFFF01000000}"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Stats!$F$7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Stats!$G$7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7E3C-4CE0-94D7-C5925F157728}"/>
            </c:ext>
          </c:extLst>
        </c:ser>
        <c:ser>
          <c:idx val="1"/>
          <c:order val="1"/>
          <c:tx>
            <c:strRef>
              <c:f>Stats!$F$8</c:f>
              <c:strCache>
                <c:ptCount val="1"/>
                <c:pt idx="0">
                  <c:v>Module Contract Trade out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Stats!$G$8</c:f>
              <c:numCache>
                <c:formatCode>[$£-809]#,##0.00</c:formatCode>
                <c:ptCount val="1"/>
                <c:pt idx="0">
                  <c:v>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3C-4CE0-94D7-C5925F157728}"/>
            </c:ext>
          </c:extLst>
        </c:ser>
        <c:ser>
          <c:idx val="2"/>
          <c:order val="2"/>
          <c:tx>
            <c:strRef>
              <c:f>Stats!$F$9</c:f>
              <c:strCache>
                <c:ptCount val="1"/>
                <c:pt idx="0">
                  <c:v>Business Loan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Stats!$G$9</c:f>
              <c:numCache>
                <c:formatCode>[$£-809]#,##0.00</c:formatCode>
                <c:ptCount val="1"/>
                <c:pt idx="0">
                  <c:v>42500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3C-4CE0-94D7-C5925F157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63109936"/>
        <c:axId val="763111184"/>
      </c:barChart>
      <c:catAx>
        <c:axId val="763109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111184"/>
        <c:crosses val="autoZero"/>
        <c:auto val="1"/>
        <c:lblAlgn val="ctr"/>
        <c:lblOffset val="100"/>
        <c:noMultiLvlLbl val="0"/>
      </c:catAx>
      <c:valAx>
        <c:axId val="76311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£-8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10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Stats!$F$11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Stats!$G$11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40C9-4808-AEDE-CE739BD66B0A}"/>
            </c:ext>
          </c:extLst>
        </c:ser>
        <c:ser>
          <c:idx val="1"/>
          <c:order val="1"/>
          <c:tx>
            <c:strRef>
              <c:f>Stats!$F$12</c:f>
              <c:strCache>
                <c:ptCount val="1"/>
                <c:pt idx="0">
                  <c:v>Staff Salary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Stats!$G$12</c:f>
              <c:numCache>
                <c:formatCode>[$£-809]#,##0.00</c:formatCode>
                <c:ptCount val="1"/>
                <c:pt idx="0">
                  <c:v>8621.875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C9-4808-AEDE-CE739BD66B0A}"/>
            </c:ext>
          </c:extLst>
        </c:ser>
        <c:ser>
          <c:idx val="2"/>
          <c:order val="2"/>
          <c:tx>
            <c:strRef>
              <c:f>Stats!$F$13</c:f>
              <c:strCache>
                <c:ptCount val="1"/>
                <c:pt idx="0">
                  <c:v>Office Rent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Stats!$G$13</c:f>
              <c:numCache>
                <c:formatCode>[$£-809]#,##0.00</c:formatCode>
                <c:ptCount val="1"/>
                <c:pt idx="0">
                  <c:v>24675.000000000004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C9-4808-AEDE-CE739BD66B0A}"/>
            </c:ext>
          </c:extLst>
        </c:ser>
        <c:ser>
          <c:idx val="3"/>
          <c:order val="3"/>
          <c:tx>
            <c:strRef>
              <c:f>Stats!$F$14</c:f>
              <c:strCache>
                <c:ptCount val="1"/>
                <c:pt idx="0">
                  <c:v>IT Infrastructure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Stats!$G$14</c:f>
              <c:numCache>
                <c:formatCode>[$£-809]#,##0.00</c:formatCode>
                <c:ptCount val="1"/>
                <c:pt idx="0">
                  <c:v>3900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C9-4808-AEDE-CE739BD66B0A}"/>
            </c:ext>
          </c:extLst>
        </c:ser>
        <c:ser>
          <c:idx val="4"/>
          <c:order val="4"/>
          <c:tx>
            <c:strRef>
              <c:f>Stats!$F$15</c:f>
              <c:strCache>
                <c:ptCount val="1"/>
                <c:pt idx="0">
                  <c:v>Utilities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Stats!$G$15</c:f>
              <c:numCache>
                <c:formatCode>[$£-809]#,##0.00</c:formatCode>
                <c:ptCount val="1"/>
                <c:pt idx="0">
                  <c:v>1950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C9-4808-AEDE-CE739BD66B0A}"/>
            </c:ext>
          </c:extLst>
        </c:ser>
        <c:ser>
          <c:idx val="5"/>
          <c:order val="5"/>
          <c:tx>
            <c:strRef>
              <c:f>Stats!$F$16</c:f>
              <c:strCache>
                <c:ptCount val="1"/>
                <c:pt idx="0">
                  <c:v>Module Contract Trade In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Stats!$G$16</c:f>
              <c:numCache>
                <c:formatCode>[$£-809]#,##0.00</c:formatCode>
                <c:ptCount val="1"/>
                <c:pt idx="0">
                  <c:v>3750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0C9-4808-AEDE-CE739BD66B0A}"/>
            </c:ext>
          </c:extLst>
        </c:ser>
        <c:ser>
          <c:idx val="6"/>
          <c:order val="6"/>
          <c:tx>
            <c:strRef>
              <c:f>Stats!$F$17</c:f>
              <c:strCache>
                <c:ptCount val="1"/>
                <c:pt idx="0">
                  <c:v>Loan Interest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Stats!$G$17</c:f>
              <c:numCache>
                <c:formatCode>[$£-809]#,##0.00</c:formatCode>
                <c:ptCount val="1"/>
                <c:pt idx="0">
                  <c:v>1280.7777777777778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C9-4808-AEDE-CE739BD66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224080"/>
        <c:axId val="758225328"/>
      </c:barChart>
      <c:catAx>
        <c:axId val="7582240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225328"/>
        <c:crosses val="autoZero"/>
        <c:auto val="1"/>
        <c:lblAlgn val="ctr"/>
        <c:lblOffset val="100"/>
        <c:noMultiLvlLbl val="0"/>
      </c:catAx>
      <c:valAx>
        <c:axId val="75822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£-8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22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'Financial Report - Final'!$I$10:$AU$10</c:f>
              <c:numCache>
                <c:formatCode>dd"/"mm"/"yy</c:formatCode>
                <c:ptCount val="39"/>
                <c:pt idx="0">
                  <c:v>44466</c:v>
                </c:pt>
                <c:pt idx="1">
                  <c:v>44473</c:v>
                </c:pt>
                <c:pt idx="2">
                  <c:v>44480</c:v>
                </c:pt>
                <c:pt idx="3">
                  <c:v>44487</c:v>
                </c:pt>
                <c:pt idx="4">
                  <c:v>44494</c:v>
                </c:pt>
                <c:pt idx="5">
                  <c:v>44501</c:v>
                </c:pt>
                <c:pt idx="6">
                  <c:v>44508</c:v>
                </c:pt>
                <c:pt idx="7">
                  <c:v>44515</c:v>
                </c:pt>
                <c:pt idx="8">
                  <c:v>44522</c:v>
                </c:pt>
                <c:pt idx="9">
                  <c:v>44529</c:v>
                </c:pt>
                <c:pt idx="10">
                  <c:v>44536</c:v>
                </c:pt>
                <c:pt idx="11">
                  <c:v>44543</c:v>
                </c:pt>
                <c:pt idx="12">
                  <c:v>44550</c:v>
                </c:pt>
                <c:pt idx="13">
                  <c:v>44557</c:v>
                </c:pt>
                <c:pt idx="14">
                  <c:v>44564</c:v>
                </c:pt>
                <c:pt idx="15">
                  <c:v>44571</c:v>
                </c:pt>
                <c:pt idx="16">
                  <c:v>44578</c:v>
                </c:pt>
                <c:pt idx="17">
                  <c:v>44585</c:v>
                </c:pt>
                <c:pt idx="18">
                  <c:v>44592</c:v>
                </c:pt>
                <c:pt idx="19">
                  <c:v>44599</c:v>
                </c:pt>
                <c:pt idx="20">
                  <c:v>44606</c:v>
                </c:pt>
                <c:pt idx="21">
                  <c:v>44613</c:v>
                </c:pt>
                <c:pt idx="22">
                  <c:v>44620</c:v>
                </c:pt>
                <c:pt idx="23">
                  <c:v>44627</c:v>
                </c:pt>
                <c:pt idx="24">
                  <c:v>44634</c:v>
                </c:pt>
                <c:pt idx="25">
                  <c:v>44641</c:v>
                </c:pt>
                <c:pt idx="26">
                  <c:v>44648</c:v>
                </c:pt>
                <c:pt idx="27">
                  <c:v>44655</c:v>
                </c:pt>
                <c:pt idx="28">
                  <c:v>44662</c:v>
                </c:pt>
                <c:pt idx="29">
                  <c:v>44669</c:v>
                </c:pt>
                <c:pt idx="30">
                  <c:v>44676</c:v>
                </c:pt>
                <c:pt idx="31">
                  <c:v>44683</c:v>
                </c:pt>
                <c:pt idx="32">
                  <c:v>44690</c:v>
                </c:pt>
                <c:pt idx="33">
                  <c:v>44697</c:v>
                </c:pt>
                <c:pt idx="34">
                  <c:v>44704</c:v>
                </c:pt>
                <c:pt idx="35">
                  <c:v>44711</c:v>
                </c:pt>
                <c:pt idx="36">
                  <c:v>44718</c:v>
                </c:pt>
                <c:pt idx="37">
                  <c:v>44725</c:v>
                </c:pt>
                <c:pt idx="38">
                  <c:v>44732</c:v>
                </c:pt>
              </c:numCache>
            </c:numRef>
          </c:cat>
          <c:val>
            <c:numRef>
              <c:f>'Financial Report - Final'!$I$26:$AU$26</c:f>
              <c:numCache>
                <c:formatCode>[$£-809]#,##0.00</c:formatCode>
                <c:ptCount val="39"/>
                <c:pt idx="0">
                  <c:v>0</c:v>
                </c:pt>
                <c:pt idx="1">
                  <c:v>-62.5</c:v>
                </c:pt>
                <c:pt idx="2">
                  <c:v>-187.5</c:v>
                </c:pt>
                <c:pt idx="3">
                  <c:v>-2868.2692307692309</c:v>
                </c:pt>
                <c:pt idx="4">
                  <c:v>-2930.7692307692309</c:v>
                </c:pt>
                <c:pt idx="5">
                  <c:v>-3905.7692307692309</c:v>
                </c:pt>
                <c:pt idx="6">
                  <c:v>-5891.3461538461543</c:v>
                </c:pt>
                <c:pt idx="7">
                  <c:v>-5953.8461538461543</c:v>
                </c:pt>
                <c:pt idx="8">
                  <c:v>-6078.8461538461543</c:v>
                </c:pt>
                <c:pt idx="9">
                  <c:v>-8751.923076923078</c:v>
                </c:pt>
                <c:pt idx="10">
                  <c:v>-8751.923076923078</c:v>
                </c:pt>
                <c:pt idx="11">
                  <c:v>-8751.923076923078</c:v>
                </c:pt>
                <c:pt idx="12">
                  <c:v>-8751.923076923078</c:v>
                </c:pt>
                <c:pt idx="13">
                  <c:v>-8751.923076923078</c:v>
                </c:pt>
                <c:pt idx="14">
                  <c:v>-8751.923076923078</c:v>
                </c:pt>
                <c:pt idx="15">
                  <c:v>-8751.923076923078</c:v>
                </c:pt>
                <c:pt idx="16">
                  <c:v>-8939.423076923078</c:v>
                </c:pt>
                <c:pt idx="17">
                  <c:v>-9101.923076923078</c:v>
                </c:pt>
                <c:pt idx="18">
                  <c:v>-14996.153846153848</c:v>
                </c:pt>
                <c:pt idx="19">
                  <c:v>-15308.653846153848</c:v>
                </c:pt>
                <c:pt idx="20">
                  <c:v>-17333.653846153848</c:v>
                </c:pt>
                <c:pt idx="21">
                  <c:v>-19444.23076923077</c:v>
                </c:pt>
                <c:pt idx="22">
                  <c:v>-19728.60576923077</c:v>
                </c:pt>
                <c:pt idx="23">
                  <c:v>-20797.35576923077</c:v>
                </c:pt>
                <c:pt idx="24">
                  <c:v>-23720.432692307691</c:v>
                </c:pt>
                <c:pt idx="25">
                  <c:v>-23845.432692307691</c:v>
                </c:pt>
                <c:pt idx="26">
                  <c:v>-23870.432692307691</c:v>
                </c:pt>
                <c:pt idx="27">
                  <c:v>-24070.432692307691</c:v>
                </c:pt>
                <c:pt idx="28">
                  <c:v>-24457.932692307691</c:v>
                </c:pt>
                <c:pt idx="29">
                  <c:v>-8048.5104700854681</c:v>
                </c:pt>
                <c:pt idx="30">
                  <c:v>-8514.0882478632466</c:v>
                </c:pt>
                <c:pt idx="31">
                  <c:v>-7567.1660256410241</c:v>
                </c:pt>
                <c:pt idx="32">
                  <c:v>13236.967735042737</c:v>
                </c:pt>
                <c:pt idx="33">
                  <c:v>12621.389957264959</c:v>
                </c:pt>
                <c:pt idx="34">
                  <c:v>10343.31217948718</c:v>
                </c:pt>
                <c:pt idx="35">
                  <c:v>7685.9074786324791</c:v>
                </c:pt>
                <c:pt idx="36">
                  <c:v>6926.5797008547015</c:v>
                </c:pt>
                <c:pt idx="37">
                  <c:v>6873.501923076924</c:v>
                </c:pt>
                <c:pt idx="38">
                  <c:v>4322.3472222222226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A7-40A7-8EAA-90FDD183C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036576"/>
        <c:axId val="912036992"/>
      </c:lineChart>
      <c:dateAx>
        <c:axId val="912036576"/>
        <c:scaling>
          <c:orientation val="minMax"/>
        </c:scaling>
        <c:delete val="0"/>
        <c:axPos val="b"/>
        <c:numFmt formatCode="dd&quot;/&quot;mm&quot;/&quot;yy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036992"/>
        <c:crosses val="autoZero"/>
        <c:auto val="1"/>
        <c:lblOffset val="100"/>
        <c:baseTimeUnit val="days"/>
      </c:dateAx>
      <c:valAx>
        <c:axId val="91203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£-8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036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5</xdr:row>
      <xdr:rowOff>28575</xdr:rowOff>
    </xdr:from>
    <xdr:to>
      <xdr:col>4</xdr:col>
      <xdr:colOff>161924</xdr:colOff>
      <xdr:row>12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5AAFBA-C876-4528-82B2-A194BC9DAD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28575</xdr:colOff>
      <xdr:row>12</xdr:row>
      <xdr:rowOff>95250</xdr:rowOff>
    </xdr:from>
    <xdr:to>
      <xdr:col>4</xdr:col>
      <xdr:colOff>161925</xdr:colOff>
      <xdr:row>25</xdr:row>
      <xdr:rowOff>342900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F21A305-50BF-4B88-9890-9C67EB383A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27</xdr:row>
      <xdr:rowOff>0</xdr:rowOff>
    </xdr:from>
    <xdr:to>
      <xdr:col>4</xdr:col>
      <xdr:colOff>180975</xdr:colOff>
      <xdr:row>35</xdr:row>
      <xdr:rowOff>209550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5A2CEA9-19C5-418A-ACEA-FA92B5E527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6:H18" headerRowCount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Financial Summary Repor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22:H27" headerRowCount="0">
  <tableColumns count="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</tableColumns>
  <tableStyleInfo name="Financial Summary Report-style 2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34"/>
  <sheetViews>
    <sheetView showGridLines="0" topLeftCell="A7" workbookViewId="0">
      <selection activeCell="N21" sqref="N21"/>
    </sheetView>
  </sheetViews>
  <sheetFormatPr defaultColWidth="12.5703125" defaultRowHeight="15.75" customHeight="1"/>
  <cols>
    <col min="1" max="1" width="6.140625" customWidth="1"/>
    <col min="2" max="2" width="14.140625" customWidth="1"/>
    <col min="3" max="3" width="9.140625" customWidth="1"/>
    <col min="4" max="4" width="21.140625" customWidth="1"/>
    <col min="5" max="5" width="10.140625" customWidth="1"/>
    <col min="6" max="6" width="10.5703125" bestFit="1" customWidth="1"/>
    <col min="7" max="7" width="10.140625" customWidth="1"/>
    <col min="8" max="8" width="11.140625" customWidth="1"/>
    <col min="9" max="9" width="6.140625" customWidth="1"/>
  </cols>
  <sheetData>
    <row r="1" spans="1:9" ht="6" customHeight="1">
      <c r="A1" s="1"/>
      <c r="B1" s="1"/>
      <c r="C1" s="2"/>
      <c r="D1" s="2"/>
      <c r="E1" s="1"/>
      <c r="F1" s="1"/>
      <c r="G1" s="1"/>
      <c r="H1" s="3"/>
      <c r="I1" s="4"/>
    </row>
    <row r="2" spans="1:9" ht="18" customHeight="1">
      <c r="A2" s="5"/>
      <c r="B2" s="5"/>
      <c r="C2" s="6"/>
      <c r="D2" s="6"/>
      <c r="E2" s="5"/>
      <c r="F2" s="5"/>
      <c r="G2" s="5"/>
      <c r="H2" s="7"/>
      <c r="I2" s="8"/>
    </row>
    <row r="3" spans="1:9" ht="19.5" customHeight="1">
      <c r="A3" s="9"/>
      <c r="B3" s="10" t="s">
        <v>0</v>
      </c>
      <c r="C3" s="11"/>
      <c r="D3" s="11"/>
      <c r="E3" s="9"/>
      <c r="F3" s="12"/>
      <c r="G3" s="12"/>
      <c r="H3" s="13"/>
      <c r="I3" s="14"/>
    </row>
    <row r="4" spans="1:9" ht="12.75">
      <c r="A4" s="15"/>
      <c r="B4" s="267"/>
      <c r="C4" s="265"/>
      <c r="D4" s="265"/>
      <c r="E4" s="15"/>
      <c r="F4" s="15"/>
      <c r="G4" s="15"/>
      <c r="H4" s="16"/>
      <c r="I4" s="17"/>
    </row>
    <row r="5" spans="1:9" ht="12.75">
      <c r="A5" s="15"/>
      <c r="B5" s="268"/>
      <c r="C5" s="265"/>
      <c r="D5" s="265"/>
      <c r="E5" s="15"/>
      <c r="F5" s="15"/>
      <c r="G5" s="15"/>
      <c r="H5" s="16"/>
      <c r="I5" s="17"/>
    </row>
    <row r="6" spans="1:9" ht="12.75">
      <c r="A6" s="18"/>
      <c r="B6" s="269"/>
      <c r="C6" s="265"/>
      <c r="D6" s="265"/>
      <c r="E6" s="18"/>
      <c r="F6" s="18"/>
      <c r="G6" s="18"/>
      <c r="H6" s="19"/>
      <c r="I6" s="19"/>
    </row>
    <row r="7" spans="1:9" ht="12.75">
      <c r="A7" s="20"/>
      <c r="B7" s="15"/>
      <c r="C7" s="15"/>
      <c r="D7" s="15"/>
      <c r="E7" s="15"/>
      <c r="F7" s="15"/>
      <c r="G7" s="15"/>
      <c r="H7" s="16"/>
      <c r="I7" s="21"/>
    </row>
    <row r="8" spans="1:9" ht="30.75">
      <c r="A8" s="22"/>
      <c r="B8" s="270" t="s">
        <v>1</v>
      </c>
      <c r="C8" s="265"/>
      <c r="D8" s="265"/>
      <c r="E8" s="265"/>
      <c r="F8" s="23"/>
      <c r="G8" s="23"/>
      <c r="H8" s="23"/>
      <c r="I8" s="22"/>
    </row>
    <row r="9" spans="1:9" ht="16.5">
      <c r="A9" s="24"/>
      <c r="B9" s="25"/>
      <c r="C9" s="25"/>
      <c r="D9" s="25"/>
      <c r="E9" s="25"/>
      <c r="F9" s="25"/>
      <c r="G9" s="25"/>
      <c r="H9" s="25"/>
      <c r="I9" s="25"/>
    </row>
    <row r="10" spans="1:9" ht="18" customHeight="1">
      <c r="A10" s="24"/>
      <c r="B10" s="271"/>
      <c r="C10" s="265"/>
      <c r="D10" s="271" t="s">
        <v>2</v>
      </c>
      <c r="E10" s="265"/>
      <c r="F10" s="265"/>
      <c r="G10" s="271" t="s">
        <v>3</v>
      </c>
      <c r="H10" s="265"/>
      <c r="I10" s="26"/>
    </row>
    <row r="11" spans="1:9" ht="18" customHeight="1">
      <c r="A11" s="18"/>
      <c r="B11" s="264"/>
      <c r="C11" s="265"/>
      <c r="D11" s="264" t="s">
        <v>4</v>
      </c>
      <c r="E11" s="265"/>
      <c r="F11" s="265"/>
      <c r="G11" s="266">
        <v>44710</v>
      </c>
      <c r="H11" s="265"/>
      <c r="I11" s="27"/>
    </row>
    <row r="12" spans="1:9" ht="12.75">
      <c r="A12" s="15"/>
      <c r="B12" s="28"/>
      <c r="C12" s="29"/>
      <c r="D12" s="28"/>
      <c r="E12" s="29"/>
      <c r="F12" s="28"/>
      <c r="G12" s="28"/>
      <c r="H12" s="28"/>
      <c r="I12" s="15"/>
    </row>
    <row r="13" spans="1:9" ht="12.75">
      <c r="A13" s="30"/>
      <c r="B13" s="31"/>
      <c r="C13" s="31"/>
      <c r="D13" s="31"/>
      <c r="E13" s="30"/>
      <c r="F13" s="31"/>
      <c r="G13" s="31"/>
      <c r="H13" s="31"/>
      <c r="I13" s="30"/>
    </row>
    <row r="14" spans="1:9" ht="19.5" customHeight="1">
      <c r="A14" s="32"/>
      <c r="B14" s="33"/>
      <c r="C14" s="34"/>
      <c r="D14" s="34"/>
      <c r="E14" s="34"/>
      <c r="F14" s="34"/>
      <c r="G14" s="34"/>
      <c r="H14" s="13"/>
      <c r="I14" s="32"/>
    </row>
    <row r="15" spans="1:9" ht="24" customHeight="1">
      <c r="A15" s="35"/>
      <c r="B15" s="36" t="s">
        <v>5</v>
      </c>
      <c r="C15" s="37"/>
      <c r="D15" s="38" t="s">
        <v>6</v>
      </c>
      <c r="E15" s="39" t="s">
        <v>7</v>
      </c>
      <c r="F15" s="39" t="s">
        <v>8</v>
      </c>
      <c r="G15" s="39" t="s">
        <v>9</v>
      </c>
      <c r="H15" s="39" t="s">
        <v>10</v>
      </c>
      <c r="I15" s="35"/>
    </row>
    <row r="16" spans="1:9" ht="63.75">
      <c r="A16" s="18"/>
      <c r="B16" s="40" t="s">
        <v>11</v>
      </c>
      <c r="C16" s="41"/>
      <c r="D16" s="42" t="s">
        <v>12</v>
      </c>
      <c r="E16" s="43">
        <f>SUM('Financial Report - Final'!I12:W12)</f>
        <v>0</v>
      </c>
      <c r="F16" s="43">
        <f>SUM('Financial Report - Final'!X12:AK12)</f>
        <v>1500</v>
      </c>
      <c r="G16" s="43">
        <f>SUM('Financial Report - Final'!AL12:AU12)</f>
        <v>4500</v>
      </c>
      <c r="H16" s="44">
        <f t="shared" ref="H16:H17" si="0">SUM(C16:G16)</f>
        <v>6000</v>
      </c>
      <c r="I16" s="18"/>
    </row>
    <row r="17" spans="1:9" ht="63.75">
      <c r="A17" s="19"/>
      <c r="B17" s="40" t="s">
        <v>13</v>
      </c>
      <c r="C17" s="41"/>
      <c r="D17" s="42" t="s">
        <v>14</v>
      </c>
      <c r="E17" s="43">
        <f>SUM('Financial Report - Final'!I11:W11)</f>
        <v>0</v>
      </c>
      <c r="F17" s="43">
        <f>SUM('Financial Report - Final'!X11:AK11)</f>
        <v>0</v>
      </c>
      <c r="G17" s="43">
        <f>SUM('Financial Report - Final'!AL11:AU11)</f>
        <v>42500</v>
      </c>
      <c r="H17" s="44">
        <f t="shared" si="0"/>
        <v>42500</v>
      </c>
      <c r="I17" s="19"/>
    </row>
    <row r="18" spans="1:9" ht="12.75" hidden="1">
      <c r="A18" s="24"/>
      <c r="B18" s="45"/>
      <c r="C18" s="46"/>
      <c r="D18" s="47"/>
      <c r="E18" s="48"/>
      <c r="F18" s="48"/>
      <c r="G18" s="48"/>
      <c r="H18" s="49"/>
      <c r="I18" s="24"/>
    </row>
    <row r="19" spans="1:9" ht="12.75">
      <c r="A19" s="50"/>
      <c r="B19" s="51"/>
      <c r="C19" s="52"/>
      <c r="D19" s="53"/>
      <c r="E19" s="54">
        <f t="shared" ref="E19:H19" si="1">SUM(E16:E18)</f>
        <v>0</v>
      </c>
      <c r="F19" s="54">
        <f t="shared" si="1"/>
        <v>1500</v>
      </c>
      <c r="G19" s="54">
        <f t="shared" si="1"/>
        <v>47000</v>
      </c>
      <c r="H19" s="55">
        <f t="shared" si="1"/>
        <v>48500</v>
      </c>
      <c r="I19" s="50"/>
    </row>
    <row r="20" spans="1:9" ht="12.75">
      <c r="A20" s="50"/>
      <c r="B20" s="56"/>
      <c r="C20" s="50"/>
      <c r="D20" s="57"/>
      <c r="E20" s="50"/>
      <c r="F20" s="58"/>
      <c r="G20" s="58"/>
      <c r="H20" s="59"/>
      <c r="I20" s="50"/>
    </row>
    <row r="21" spans="1:9" ht="18.75">
      <c r="A21" s="50"/>
      <c r="B21" s="36" t="s">
        <v>15</v>
      </c>
      <c r="C21" s="37"/>
      <c r="D21" s="38" t="s">
        <v>6</v>
      </c>
      <c r="E21" s="39" t="s">
        <v>7</v>
      </c>
      <c r="F21" s="39" t="s">
        <v>8</v>
      </c>
      <c r="G21" s="39" t="s">
        <v>9</v>
      </c>
      <c r="H21" s="39" t="s">
        <v>10</v>
      </c>
      <c r="I21" s="50"/>
    </row>
    <row r="22" spans="1:9" ht="38.25">
      <c r="A22" s="50"/>
      <c r="B22" s="40" t="s">
        <v>16</v>
      </c>
      <c r="C22" s="41"/>
      <c r="D22" s="42" t="s">
        <v>17</v>
      </c>
      <c r="E22" s="43">
        <f ca="1">SUM('Financial Report - Final'!I14:W14)</f>
        <v>925</v>
      </c>
      <c r="F22" s="43">
        <f ca="1">SUM('Financial Report - Final'!X14:AK14)</f>
        <v>3215.625</v>
      </c>
      <c r="G22" s="43">
        <f ca="1">SUM('Financial Report - Final'!AL14:AU14)</f>
        <v>4481.25</v>
      </c>
      <c r="H22" s="44">
        <f t="shared" ref="H22:H28" ca="1" si="2">SUM(C22:G22)</f>
        <v>8621.875</v>
      </c>
      <c r="I22" s="50"/>
    </row>
    <row r="23" spans="1:9" ht="63.75">
      <c r="A23" s="60"/>
      <c r="B23" s="40" t="s">
        <v>18</v>
      </c>
      <c r="C23" s="41"/>
      <c r="D23" s="42" t="s">
        <v>19</v>
      </c>
      <c r="E23" s="43">
        <f>SUM('Financial Report - Final'!I15:W15)</f>
        <v>6326.923076923078</v>
      </c>
      <c r="F23" s="43">
        <f>SUM('Financial Report - Final'!X15:AK15)</f>
        <v>9490.3846153846171</v>
      </c>
      <c r="G23" s="43">
        <f>SUM('Financial Report - Final'!AL15:AU15)</f>
        <v>8857.6923076923085</v>
      </c>
      <c r="H23" s="44">
        <f t="shared" si="2"/>
        <v>24675.000000000004</v>
      </c>
      <c r="I23" s="60"/>
    </row>
    <row r="24" spans="1:9" ht="38.25">
      <c r="A24" s="24"/>
      <c r="B24" s="40" t="s">
        <v>20</v>
      </c>
      <c r="C24" s="41"/>
      <c r="D24" s="42" t="s">
        <v>21</v>
      </c>
      <c r="E24" s="43">
        <f>SUM('Financial Report - Final'!I16:W16)</f>
        <v>1000</v>
      </c>
      <c r="F24" s="43">
        <f>SUM('Financial Report - Final'!X16:AK16)</f>
        <v>1500</v>
      </c>
      <c r="G24" s="43">
        <f>SUM('Financial Report - Final'!AL16:AU16)</f>
        <v>1400</v>
      </c>
      <c r="H24" s="44">
        <f t="shared" si="2"/>
        <v>3900</v>
      </c>
      <c r="I24" s="24"/>
    </row>
    <row r="25" spans="1:9" ht="38.25">
      <c r="A25" s="24"/>
      <c r="B25" s="40" t="s">
        <v>22</v>
      </c>
      <c r="C25" s="41"/>
      <c r="D25" s="42" t="s">
        <v>23</v>
      </c>
      <c r="E25" s="43">
        <f>SUM('Financial Report - Final'!I17:W17)</f>
        <v>500</v>
      </c>
      <c r="F25" s="43">
        <f>SUM('Financial Report - Final'!X17:AK17)</f>
        <v>750</v>
      </c>
      <c r="G25" s="43">
        <f>SUM('Financial Report - Final'!AL17:AU17)</f>
        <v>700</v>
      </c>
      <c r="H25" s="44">
        <f t="shared" si="2"/>
        <v>1950</v>
      </c>
      <c r="I25" s="24"/>
    </row>
    <row r="26" spans="1:9" ht="127.5">
      <c r="A26" s="24"/>
      <c r="B26" s="40" t="s">
        <v>24</v>
      </c>
      <c r="C26" s="41"/>
      <c r="D26" s="42" t="s">
        <v>25</v>
      </c>
      <c r="E26" s="43">
        <f>SUM('Financial Report - Final'!I18:W18)</f>
        <v>0</v>
      </c>
      <c r="F26" s="43">
        <f>SUM('Financial Report - Final'!X18:AK18)</f>
        <v>1500</v>
      </c>
      <c r="G26" s="43">
        <f>SUM('Financial Report - Final'!AL18:AU18)</f>
        <v>2250</v>
      </c>
      <c r="H26" s="44">
        <f t="shared" si="2"/>
        <v>3750</v>
      </c>
      <c r="I26" s="24"/>
    </row>
    <row r="27" spans="1:9" ht="51">
      <c r="A27" s="24"/>
      <c r="B27" s="40" t="s">
        <v>26</v>
      </c>
      <c r="C27" s="41"/>
      <c r="D27" s="42" t="s">
        <v>27</v>
      </c>
      <c r="E27" s="43">
        <f>SUM('Financial Report - Final'!I19:W19)</f>
        <v>0</v>
      </c>
      <c r="F27" s="43">
        <f>SUM('Financial Report - Final'!X19:AK19)</f>
        <v>750</v>
      </c>
      <c r="G27" s="43">
        <f>SUM('Financial Report - Final'!AL19:AU19)</f>
        <v>530.77777777777783</v>
      </c>
      <c r="H27" s="44">
        <f t="shared" si="2"/>
        <v>1280.7777777777778</v>
      </c>
      <c r="I27" s="24"/>
    </row>
    <row r="28" spans="1:9" ht="19.5" customHeight="1">
      <c r="A28" s="24"/>
      <c r="B28" s="51"/>
      <c r="C28" s="52"/>
      <c r="D28" s="52"/>
      <c r="E28" s="54">
        <f t="shared" ref="E28:G28" ca="1" si="3">SUM(E22:E27)</f>
        <v>8751.923076923078</v>
      </c>
      <c r="F28" s="54">
        <f t="shared" ca="1" si="3"/>
        <v>17206.009615384617</v>
      </c>
      <c r="G28" s="54">
        <f t="shared" ca="1" si="3"/>
        <v>18219.720085470086</v>
      </c>
      <c r="H28" s="55">
        <f t="shared" ca="1" si="2"/>
        <v>44177.652777777781</v>
      </c>
      <c r="I28" s="24"/>
    </row>
    <row r="29" spans="1:9" ht="19.5" customHeight="1">
      <c r="A29" s="24"/>
      <c r="B29" s="36"/>
      <c r="C29" s="61"/>
      <c r="D29" s="61"/>
      <c r="E29" s="62"/>
      <c r="F29" s="62"/>
      <c r="G29" s="62"/>
      <c r="H29" s="63"/>
      <c r="I29" s="24"/>
    </row>
    <row r="30" spans="1:9" ht="19.5" customHeight="1">
      <c r="A30" s="24"/>
      <c r="B30" s="36" t="s">
        <v>28</v>
      </c>
      <c r="C30" s="61"/>
      <c r="D30" s="61"/>
      <c r="E30" s="62">
        <f t="shared" ref="E30:H30" ca="1" si="4">E19-E28</f>
        <v>-8751.923076923078</v>
      </c>
      <c r="F30" s="62">
        <f t="shared" ca="1" si="4"/>
        <v>-15706.009615384617</v>
      </c>
      <c r="G30" s="62">
        <f t="shared" ca="1" si="4"/>
        <v>28780.279914529914</v>
      </c>
      <c r="H30" s="63">
        <f t="shared" ca="1" si="4"/>
        <v>4322.347222222219</v>
      </c>
      <c r="I30" s="24"/>
    </row>
    <row r="31" spans="1:9" ht="12.75">
      <c r="A31" s="24"/>
      <c r="B31" s="64"/>
      <c r="C31" s="61"/>
      <c r="D31" s="61"/>
      <c r="E31" s="62"/>
      <c r="F31" s="62"/>
      <c r="G31" s="62"/>
      <c r="H31" s="63"/>
      <c r="I31" s="24"/>
    </row>
    <row r="32" spans="1:9" ht="19.5" customHeight="1">
      <c r="A32" s="24"/>
      <c r="B32" s="64"/>
      <c r="C32" s="61"/>
      <c r="D32" s="61"/>
      <c r="E32" s="62"/>
      <c r="F32" s="62"/>
      <c r="G32" s="62"/>
      <c r="H32" s="63"/>
      <c r="I32" s="24"/>
    </row>
    <row r="33" spans="1:9" ht="19.5" customHeight="1">
      <c r="A33" s="24"/>
      <c r="B33" s="64"/>
      <c r="C33" s="61"/>
      <c r="D33" s="61"/>
      <c r="E33" s="62"/>
      <c r="F33" s="62"/>
      <c r="G33" s="62"/>
      <c r="H33" s="63"/>
      <c r="I33" s="24"/>
    </row>
    <row r="34" spans="1:9" ht="19.5" customHeight="1">
      <c r="A34" s="24"/>
      <c r="B34" s="64"/>
      <c r="C34" s="61"/>
      <c r="D34" s="61"/>
      <c r="E34" s="62"/>
      <c r="F34" s="62"/>
      <c r="G34" s="62"/>
      <c r="H34" s="63"/>
      <c r="I34" s="24"/>
    </row>
  </sheetData>
  <mergeCells count="10">
    <mergeCell ref="B11:C11"/>
    <mergeCell ref="D11:F11"/>
    <mergeCell ref="G11:H11"/>
    <mergeCell ref="B4:D4"/>
    <mergeCell ref="B5:D5"/>
    <mergeCell ref="B6:D6"/>
    <mergeCell ref="B8:E8"/>
    <mergeCell ref="B10:C10"/>
    <mergeCell ref="D10:F10"/>
    <mergeCell ref="G10:H10"/>
  </mergeCells>
  <printOptions horizontalCentered="1" verticalCentered="1" gridLines="1"/>
  <pageMargins left="0.7" right="0.7" top="0.75" bottom="0.75" header="0" footer="0"/>
  <pageSetup paperSize="9" fitToHeight="0" pageOrder="overThenDown" orientation="portrait" cellComments="atEnd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D85C6"/>
    <outlinePr summaryBelow="0" summaryRight="0"/>
    <pageSetUpPr fitToPage="1"/>
  </sheetPr>
  <dimension ref="A1:BL35"/>
  <sheetViews>
    <sheetView showGridLines="0" zoomScale="85" zoomScaleNormal="85" workbookViewId="0">
      <pane xSplit="1" topLeftCell="D1" activePane="topRight" state="frozen"/>
      <selection pane="topRight" activeCell="AU26" activeCellId="1" sqref="I10:AU10 I26:AU26"/>
    </sheetView>
  </sheetViews>
  <sheetFormatPr defaultColWidth="12.5703125" defaultRowHeight="15.75" customHeight="1"/>
  <cols>
    <col min="1" max="1" width="4.28515625" customWidth="1"/>
    <col min="2" max="2" width="11.140625" customWidth="1"/>
    <col min="3" max="3" width="1.42578125" customWidth="1"/>
    <col min="4" max="4" width="17.28515625" customWidth="1"/>
    <col min="5" max="5" width="12.140625" customWidth="1"/>
    <col min="6" max="6" width="0.42578125" customWidth="1"/>
    <col min="7" max="7" width="10.42578125" customWidth="1"/>
    <col min="8" max="8" width="13" customWidth="1"/>
    <col min="9" max="11" width="8.5703125" bestFit="1" customWidth="1"/>
    <col min="12" max="26" width="9.5703125" bestFit="1" customWidth="1"/>
    <col min="27" max="37" width="10.5703125" bestFit="1" customWidth="1"/>
    <col min="38" max="38" width="10" bestFit="1" customWidth="1"/>
    <col min="39" max="40" width="9.5703125" bestFit="1" customWidth="1"/>
    <col min="41" max="43" width="10" bestFit="1" customWidth="1"/>
    <col min="44" max="44" width="9.5703125" bestFit="1" customWidth="1"/>
    <col min="45" max="46" width="9" bestFit="1" customWidth="1"/>
    <col min="47" max="47" width="9.5703125" bestFit="1" customWidth="1"/>
    <col min="48" max="48" width="12.140625" bestFit="1" customWidth="1"/>
    <col min="49" max="49" width="8.5703125" bestFit="1" customWidth="1"/>
    <col min="50" max="50" width="8.42578125" customWidth="1"/>
    <col min="51" max="51" width="26.85546875" bestFit="1" customWidth="1"/>
    <col min="52" max="52" width="10" bestFit="1" customWidth="1"/>
    <col min="53" max="64" width="3.42578125" customWidth="1"/>
  </cols>
  <sheetData>
    <row r="1" spans="1:64" ht="21" customHeight="1">
      <c r="A1" s="65"/>
      <c r="B1" s="66"/>
      <c r="C1" s="66"/>
      <c r="D1" s="67"/>
      <c r="E1" s="67"/>
      <c r="F1" s="67"/>
      <c r="G1" s="68"/>
      <c r="H1" s="68"/>
      <c r="I1" s="69"/>
      <c r="J1" s="70"/>
      <c r="K1" s="71"/>
      <c r="L1" s="72"/>
      <c r="M1" s="71"/>
      <c r="N1" s="73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74"/>
      <c r="AE1" s="74"/>
      <c r="AF1" s="74"/>
      <c r="AG1" s="74"/>
      <c r="AH1" s="74"/>
      <c r="AI1" s="74"/>
      <c r="AJ1" s="74"/>
      <c r="AK1" s="74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</row>
    <row r="2" spans="1:64" ht="21" customHeight="1">
      <c r="A2" s="65"/>
      <c r="B2" s="281" t="s">
        <v>29</v>
      </c>
      <c r="C2" s="282"/>
      <c r="D2" s="282"/>
      <c r="E2" s="282"/>
      <c r="F2" s="282"/>
      <c r="G2" s="75"/>
      <c r="H2" s="75"/>
      <c r="I2" s="283"/>
      <c r="J2" s="282"/>
      <c r="K2" s="282"/>
      <c r="L2" s="282"/>
      <c r="M2" s="282"/>
      <c r="N2" s="282"/>
      <c r="O2" s="76"/>
      <c r="P2" s="76"/>
      <c r="Q2" s="76"/>
      <c r="R2" s="76"/>
      <c r="S2" s="76"/>
      <c r="T2" s="76"/>
      <c r="U2" s="77"/>
      <c r="V2" s="77"/>
      <c r="W2" s="77"/>
      <c r="X2" s="77"/>
      <c r="Y2" s="77"/>
      <c r="Z2" s="77"/>
      <c r="AA2" s="77"/>
      <c r="AB2" s="77"/>
      <c r="AC2" s="78"/>
      <c r="AD2" s="78"/>
      <c r="AE2" s="78"/>
      <c r="AF2" s="78"/>
      <c r="AG2" s="79"/>
      <c r="AH2" s="79"/>
      <c r="AI2" s="79"/>
      <c r="AJ2" s="79"/>
      <c r="AK2" s="79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</row>
    <row r="3" spans="1:64" ht="21" customHeight="1">
      <c r="A3" s="65"/>
      <c r="B3" s="80"/>
      <c r="C3" s="80"/>
      <c r="D3" s="80"/>
      <c r="E3" s="81"/>
      <c r="F3" s="81"/>
      <c r="G3" s="81"/>
      <c r="H3" s="81"/>
      <c r="I3" s="82"/>
      <c r="J3" s="82"/>
      <c r="K3" s="82"/>
      <c r="L3" s="82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65"/>
      <c r="AD3" s="74"/>
      <c r="AE3" s="74"/>
      <c r="AF3" s="74"/>
      <c r="AG3" s="74"/>
      <c r="AH3" s="74"/>
      <c r="AI3" s="74"/>
      <c r="AJ3" s="74"/>
      <c r="AK3" s="74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</row>
    <row r="4" spans="1:64" ht="21" customHeight="1">
      <c r="A4" s="65"/>
      <c r="B4" s="84" t="s">
        <v>30</v>
      </c>
      <c r="C4" s="84"/>
      <c r="D4" s="85"/>
      <c r="E4" s="85" t="s">
        <v>0</v>
      </c>
      <c r="F4" s="85"/>
      <c r="G4" s="85"/>
      <c r="H4" s="86"/>
      <c r="I4" s="284" t="s">
        <v>31</v>
      </c>
      <c r="J4" s="285"/>
      <c r="K4" s="285"/>
      <c r="L4" s="285"/>
      <c r="M4" s="285"/>
      <c r="N4" s="285"/>
      <c r="O4" s="285"/>
      <c r="P4" s="286" t="s">
        <v>32</v>
      </c>
      <c r="Q4" s="285"/>
      <c r="R4" s="285"/>
      <c r="S4" s="285"/>
      <c r="T4" s="285"/>
      <c r="U4" s="87"/>
      <c r="V4" s="87"/>
      <c r="W4" s="87"/>
      <c r="X4" s="87"/>
      <c r="Y4" s="87"/>
      <c r="Z4" s="87"/>
      <c r="AA4" s="87"/>
      <c r="AB4" s="87"/>
      <c r="AC4" s="88"/>
      <c r="AD4" s="74"/>
      <c r="AE4" s="74"/>
      <c r="AF4" s="74"/>
      <c r="AG4" s="74"/>
      <c r="AH4" s="74"/>
      <c r="AI4" s="74"/>
      <c r="AJ4" s="74"/>
      <c r="AK4" s="74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</row>
    <row r="5" spans="1:64" ht="21" customHeight="1">
      <c r="A5" s="65"/>
      <c r="B5" s="84" t="s">
        <v>33</v>
      </c>
      <c r="C5" s="84"/>
      <c r="D5" s="89"/>
      <c r="E5" s="89" t="s">
        <v>34</v>
      </c>
      <c r="F5" s="89"/>
      <c r="G5" s="89"/>
      <c r="H5" s="90"/>
      <c r="I5" s="284" t="s">
        <v>35</v>
      </c>
      <c r="J5" s="285"/>
      <c r="K5" s="285"/>
      <c r="L5" s="285"/>
      <c r="M5" s="285"/>
      <c r="N5" s="285"/>
      <c r="O5" s="285"/>
      <c r="P5" s="287">
        <v>44710</v>
      </c>
      <c r="Q5" s="285"/>
      <c r="R5" s="285"/>
      <c r="S5" s="285"/>
      <c r="T5" s="285"/>
      <c r="U5" s="91"/>
      <c r="V5" s="91"/>
      <c r="W5" s="91"/>
      <c r="X5" s="91"/>
      <c r="Y5" s="91"/>
      <c r="Z5" s="91"/>
      <c r="AA5" s="91"/>
      <c r="AB5" s="92"/>
      <c r="AC5" s="88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5"/>
    </row>
    <row r="6" spans="1:64" ht="21" customHeight="1">
      <c r="A6" s="93"/>
      <c r="B6" s="94"/>
      <c r="C6" s="94"/>
      <c r="D6" s="94"/>
      <c r="E6" s="94"/>
      <c r="F6" s="94"/>
      <c r="G6" s="94"/>
      <c r="H6" s="95"/>
      <c r="I6" s="94"/>
      <c r="J6" s="94"/>
      <c r="K6" s="94"/>
      <c r="L6" s="94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</row>
    <row r="7" spans="1:64" ht="21" customHeight="1">
      <c r="A7" s="93"/>
      <c r="B7" s="94"/>
      <c r="C7" s="94"/>
      <c r="D7" s="94"/>
      <c r="E7" s="94"/>
      <c r="F7" s="94"/>
      <c r="G7" s="94"/>
      <c r="H7" s="95"/>
      <c r="I7" s="94"/>
      <c r="J7" s="94"/>
      <c r="K7" s="94"/>
      <c r="L7" s="94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</row>
    <row r="8" spans="1:64" ht="21" customHeight="1">
      <c r="A8" s="96"/>
      <c r="B8" s="97" t="s">
        <v>36</v>
      </c>
      <c r="C8" s="97"/>
      <c r="D8" s="98"/>
      <c r="E8" s="98"/>
      <c r="F8" s="98"/>
      <c r="G8" s="98" t="s">
        <v>37</v>
      </c>
      <c r="H8" s="98"/>
      <c r="I8" s="276" t="s">
        <v>7</v>
      </c>
      <c r="J8" s="265"/>
      <c r="K8" s="265"/>
      <c r="L8" s="265"/>
      <c r="M8" s="265"/>
      <c r="N8" s="265"/>
      <c r="O8" s="265"/>
      <c r="P8" s="265"/>
      <c r="Q8" s="265"/>
      <c r="R8" s="265"/>
      <c r="S8" s="265"/>
      <c r="T8" s="265"/>
      <c r="U8" s="265"/>
      <c r="V8" s="265"/>
      <c r="W8" s="277"/>
      <c r="X8" s="276" t="s">
        <v>8</v>
      </c>
      <c r="Y8" s="265"/>
      <c r="Z8" s="265"/>
      <c r="AA8" s="265"/>
      <c r="AB8" s="265"/>
      <c r="AC8" s="265"/>
      <c r="AD8" s="265"/>
      <c r="AE8" s="265"/>
      <c r="AF8" s="265"/>
      <c r="AG8" s="265"/>
      <c r="AH8" s="265"/>
      <c r="AI8" s="265"/>
      <c r="AJ8" s="265"/>
      <c r="AK8" s="277"/>
      <c r="AL8" s="276" t="s">
        <v>9</v>
      </c>
      <c r="AM8" s="265"/>
      <c r="AN8" s="265"/>
      <c r="AO8" s="265"/>
      <c r="AP8" s="265"/>
      <c r="AQ8" s="265"/>
      <c r="AR8" s="265"/>
      <c r="AS8" s="265"/>
      <c r="AT8" s="265"/>
      <c r="AU8" s="277"/>
      <c r="AV8" s="99"/>
      <c r="AW8" s="278" t="s">
        <v>38</v>
      </c>
      <c r="AX8" s="100"/>
      <c r="AY8" s="100"/>
      <c r="AZ8" s="100"/>
      <c r="BA8" s="101"/>
      <c r="BB8" s="101"/>
      <c r="BC8" s="101"/>
      <c r="BD8" s="101"/>
      <c r="BE8" s="101"/>
      <c r="BF8" s="93"/>
      <c r="BG8" s="93"/>
      <c r="BH8" s="93"/>
      <c r="BI8" s="93"/>
      <c r="BJ8" s="93"/>
      <c r="BK8" s="93"/>
      <c r="BL8" s="93"/>
    </row>
    <row r="9" spans="1:64" ht="21" customHeight="1">
      <c r="A9" s="102"/>
      <c r="B9" s="103"/>
      <c r="C9" s="103"/>
      <c r="D9" s="104"/>
      <c r="E9" s="104"/>
      <c r="F9" s="104"/>
      <c r="G9" s="307" t="s">
        <v>39</v>
      </c>
      <c r="H9" s="265"/>
      <c r="I9" s="105">
        <v>1</v>
      </c>
      <c r="J9" s="106">
        <v>2</v>
      </c>
      <c r="K9" s="106">
        <v>3</v>
      </c>
      <c r="L9" s="106">
        <v>4</v>
      </c>
      <c r="M9" s="106">
        <v>5</v>
      </c>
      <c r="N9" s="106">
        <v>6</v>
      </c>
      <c r="O9" s="106">
        <v>7</v>
      </c>
      <c r="P9" s="106">
        <v>8</v>
      </c>
      <c r="Q9" s="106">
        <v>9</v>
      </c>
      <c r="R9" s="106">
        <v>10</v>
      </c>
      <c r="S9" s="107">
        <v>11</v>
      </c>
      <c r="T9" s="107">
        <v>12</v>
      </c>
      <c r="U9" s="107">
        <v>13</v>
      </c>
      <c r="V9" s="107">
        <v>14</v>
      </c>
      <c r="W9" s="108">
        <v>15</v>
      </c>
      <c r="X9" s="105">
        <v>1</v>
      </c>
      <c r="Y9" s="106">
        <v>2</v>
      </c>
      <c r="Z9" s="106">
        <v>3</v>
      </c>
      <c r="AA9" s="106">
        <v>4</v>
      </c>
      <c r="AB9" s="106">
        <v>5</v>
      </c>
      <c r="AC9" s="106">
        <v>6</v>
      </c>
      <c r="AD9" s="106">
        <v>7</v>
      </c>
      <c r="AE9" s="106">
        <v>8</v>
      </c>
      <c r="AF9" s="106">
        <v>9</v>
      </c>
      <c r="AG9" s="106">
        <v>10</v>
      </c>
      <c r="AH9" s="107">
        <v>11</v>
      </c>
      <c r="AI9" s="107">
        <v>12</v>
      </c>
      <c r="AJ9" s="107">
        <v>13</v>
      </c>
      <c r="AK9" s="107">
        <v>14</v>
      </c>
      <c r="AL9" s="109">
        <v>1</v>
      </c>
      <c r="AM9" s="110">
        <v>2</v>
      </c>
      <c r="AN9" s="110">
        <v>3</v>
      </c>
      <c r="AO9" s="110">
        <v>4</v>
      </c>
      <c r="AP9" s="110">
        <v>5</v>
      </c>
      <c r="AQ9" s="106">
        <v>6</v>
      </c>
      <c r="AR9" s="106">
        <v>7</v>
      </c>
      <c r="AS9" s="106">
        <v>8</v>
      </c>
      <c r="AT9" s="106">
        <v>9</v>
      </c>
      <c r="AU9" s="111">
        <v>10</v>
      </c>
      <c r="AV9" s="279" t="s">
        <v>40</v>
      </c>
      <c r="AW9" s="265"/>
      <c r="BA9" s="280"/>
      <c r="BB9" s="265"/>
      <c r="BC9" s="265"/>
      <c r="BD9" s="265"/>
      <c r="BE9" s="265"/>
      <c r="BF9" s="93"/>
      <c r="BG9" s="93"/>
      <c r="BH9" s="93"/>
      <c r="BI9" s="93"/>
      <c r="BJ9" s="93"/>
      <c r="BK9" s="93"/>
      <c r="BL9" s="102"/>
    </row>
    <row r="10" spans="1:64" ht="21" customHeight="1">
      <c r="A10" s="112"/>
      <c r="B10" s="113"/>
      <c r="C10" s="113"/>
      <c r="D10" s="114" t="s">
        <v>41</v>
      </c>
      <c r="E10" s="115"/>
      <c r="F10" s="115"/>
      <c r="G10" s="308" t="s">
        <v>42</v>
      </c>
      <c r="H10" s="265"/>
      <c r="I10" s="116">
        <v>44466</v>
      </c>
      <c r="J10" s="116">
        <v>44473</v>
      </c>
      <c r="K10" s="116">
        <v>44480</v>
      </c>
      <c r="L10" s="116">
        <v>44487</v>
      </c>
      <c r="M10" s="116">
        <v>44494</v>
      </c>
      <c r="N10" s="116">
        <v>44501</v>
      </c>
      <c r="O10" s="116">
        <v>44508</v>
      </c>
      <c r="P10" s="116">
        <v>44515</v>
      </c>
      <c r="Q10" s="116">
        <v>44522</v>
      </c>
      <c r="R10" s="116">
        <v>44529</v>
      </c>
      <c r="S10" s="116">
        <v>44536</v>
      </c>
      <c r="T10" s="116">
        <v>44543</v>
      </c>
      <c r="U10" s="116">
        <v>44550</v>
      </c>
      <c r="V10" s="116">
        <v>44557</v>
      </c>
      <c r="W10" s="116">
        <v>44564</v>
      </c>
      <c r="X10" s="116">
        <v>44571</v>
      </c>
      <c r="Y10" s="116">
        <v>44578</v>
      </c>
      <c r="Z10" s="116">
        <v>44585</v>
      </c>
      <c r="AA10" s="116">
        <v>44592</v>
      </c>
      <c r="AB10" s="116">
        <v>44599</v>
      </c>
      <c r="AC10" s="116">
        <v>44606</v>
      </c>
      <c r="AD10" s="116">
        <v>44613</v>
      </c>
      <c r="AE10" s="116">
        <v>44620</v>
      </c>
      <c r="AF10" s="116">
        <v>44627</v>
      </c>
      <c r="AG10" s="116">
        <v>44634</v>
      </c>
      <c r="AH10" s="116">
        <v>44641</v>
      </c>
      <c r="AI10" s="116">
        <v>44648</v>
      </c>
      <c r="AJ10" s="116">
        <v>44655</v>
      </c>
      <c r="AK10" s="116">
        <v>44662</v>
      </c>
      <c r="AL10" s="116">
        <v>44669</v>
      </c>
      <c r="AM10" s="116">
        <v>44676</v>
      </c>
      <c r="AN10" s="116">
        <v>44683</v>
      </c>
      <c r="AO10" s="116">
        <v>44690</v>
      </c>
      <c r="AP10" s="116">
        <v>44697</v>
      </c>
      <c r="AQ10" s="116">
        <v>44704</v>
      </c>
      <c r="AR10" s="116">
        <v>44711</v>
      </c>
      <c r="AS10" s="116">
        <v>44718</v>
      </c>
      <c r="AT10" s="116">
        <v>44725</v>
      </c>
      <c r="AU10" s="116">
        <v>44732</v>
      </c>
      <c r="AV10" s="275"/>
      <c r="AW10" s="265"/>
      <c r="AX10" s="117"/>
      <c r="AY10" s="117"/>
      <c r="AZ10" s="117"/>
      <c r="BA10" s="117"/>
      <c r="BB10" s="117"/>
      <c r="BC10" s="117"/>
      <c r="BD10" s="117"/>
      <c r="BE10" s="117"/>
      <c r="BF10" s="93"/>
      <c r="BG10" s="93"/>
      <c r="BH10" s="93"/>
      <c r="BI10" s="93"/>
      <c r="BJ10" s="93"/>
      <c r="BK10" s="93"/>
      <c r="BL10" s="112"/>
    </row>
    <row r="11" spans="1:64" ht="21" customHeight="1">
      <c r="A11" s="118"/>
      <c r="B11" s="309">
        <v>1</v>
      </c>
      <c r="C11" s="119"/>
      <c r="D11" s="288" t="s">
        <v>5</v>
      </c>
      <c r="E11" s="265"/>
      <c r="F11" s="265"/>
      <c r="G11" s="310" t="s">
        <v>43</v>
      </c>
      <c r="H11" s="296"/>
      <c r="I11" s="120"/>
      <c r="J11" s="121"/>
      <c r="K11" s="122"/>
      <c r="L11" s="122"/>
      <c r="M11" s="122"/>
      <c r="N11" s="122"/>
      <c r="O11" s="122"/>
      <c r="P11" s="122"/>
      <c r="Q11" s="122"/>
      <c r="R11" s="122"/>
      <c r="S11" s="122"/>
      <c r="T11" s="123"/>
      <c r="U11" s="123"/>
      <c r="V11" s="123"/>
      <c r="W11" s="124"/>
      <c r="X11" s="125"/>
      <c r="Y11" s="126"/>
      <c r="Z11" s="126"/>
      <c r="AA11" s="126"/>
      <c r="AB11" s="126"/>
      <c r="AC11" s="121"/>
      <c r="AD11" s="121"/>
      <c r="AE11" s="121"/>
      <c r="AF11" s="121"/>
      <c r="AG11" s="127"/>
      <c r="AH11" s="121"/>
      <c r="AI11" s="121"/>
      <c r="AJ11" s="121"/>
      <c r="AK11" s="128"/>
      <c r="AL11" s="129">
        <f>AZ22*AZ24</f>
        <v>17000</v>
      </c>
      <c r="AM11" s="121"/>
      <c r="AN11" s="121"/>
      <c r="AO11" s="121">
        <f>AZ22*AZ23</f>
        <v>25500</v>
      </c>
      <c r="AP11" s="121"/>
      <c r="AQ11" s="121"/>
      <c r="AR11" s="121"/>
      <c r="AS11" s="121"/>
      <c r="AT11" s="121"/>
      <c r="AU11" s="124"/>
      <c r="AV11" s="130">
        <f t="shared" ref="AV11:AV12" si="0">SUM(I11:AU11)</f>
        <v>42500</v>
      </c>
      <c r="AW11" s="265"/>
      <c r="AX11" s="131"/>
      <c r="AY11" s="132" t="s">
        <v>44</v>
      </c>
      <c r="AZ11" s="133">
        <v>3000</v>
      </c>
      <c r="BA11" s="131"/>
      <c r="BB11" s="131"/>
      <c r="BC11" s="131"/>
      <c r="BD11" s="131"/>
      <c r="BE11" s="131"/>
      <c r="BF11" s="93"/>
      <c r="BG11" s="93"/>
      <c r="BH11" s="93"/>
      <c r="BI11" s="93"/>
      <c r="BJ11" s="93"/>
      <c r="BK11" s="93"/>
      <c r="BL11" s="134"/>
    </row>
    <row r="12" spans="1:64" ht="21" customHeight="1">
      <c r="A12" s="93"/>
      <c r="B12" s="265"/>
      <c r="C12" s="119"/>
      <c r="D12" s="265"/>
      <c r="E12" s="265"/>
      <c r="F12" s="265"/>
      <c r="G12" s="310" t="s">
        <v>45</v>
      </c>
      <c r="H12" s="296"/>
      <c r="I12" s="120"/>
      <c r="J12" s="121"/>
      <c r="K12" s="122"/>
      <c r="L12" s="122"/>
      <c r="M12" s="122"/>
      <c r="N12" s="122"/>
      <c r="O12" s="122"/>
      <c r="P12" s="122"/>
      <c r="Q12" s="122"/>
      <c r="R12" s="122"/>
      <c r="S12" s="122"/>
      <c r="T12" s="123"/>
      <c r="U12" s="123"/>
      <c r="V12" s="123"/>
      <c r="W12" s="124"/>
      <c r="X12" s="125"/>
      <c r="Y12" s="126"/>
      <c r="Z12" s="126"/>
      <c r="AA12" s="126"/>
      <c r="AB12" s="126"/>
      <c r="AC12" s="121"/>
      <c r="AD12" s="121"/>
      <c r="AE12" s="121"/>
      <c r="AF12" s="121">
        <f>AZ11*AZ12*AZ13</f>
        <v>1500</v>
      </c>
      <c r="AG12" s="121"/>
      <c r="AH12" s="121"/>
      <c r="AI12" s="121"/>
      <c r="AJ12" s="121"/>
      <c r="AK12" s="128"/>
      <c r="AL12" s="135"/>
      <c r="AM12" s="121"/>
      <c r="AN12" s="121">
        <f>AZ11*AZ12*AZ14</f>
        <v>3000</v>
      </c>
      <c r="AO12" s="121">
        <f>AZ11*AZ12*AZ15</f>
        <v>1500</v>
      </c>
      <c r="AP12" s="121"/>
      <c r="AQ12" s="121"/>
      <c r="AR12" s="121"/>
      <c r="AS12" s="121"/>
      <c r="AT12" s="121"/>
      <c r="AU12" s="124"/>
      <c r="AV12" s="130">
        <f t="shared" si="0"/>
        <v>6000</v>
      </c>
      <c r="AW12" s="265"/>
      <c r="AX12" s="131"/>
      <c r="AY12" s="136" t="s">
        <v>46</v>
      </c>
      <c r="AZ12" s="137">
        <v>2</v>
      </c>
      <c r="BA12" s="131"/>
      <c r="BB12" s="131"/>
      <c r="BC12" s="131"/>
      <c r="BD12" s="131"/>
      <c r="BE12" s="131"/>
      <c r="BF12" s="131"/>
      <c r="BG12" s="131"/>
      <c r="BH12" s="131"/>
      <c r="BI12" s="131"/>
      <c r="BJ12" s="131"/>
      <c r="BK12" s="138"/>
      <c r="BL12" s="138"/>
    </row>
    <row r="13" spans="1:64" ht="21" customHeight="1">
      <c r="A13" s="93"/>
      <c r="B13" s="265"/>
      <c r="C13" s="139"/>
      <c r="D13" s="289"/>
      <c r="E13" s="289"/>
      <c r="F13" s="289"/>
      <c r="G13" s="311" t="s">
        <v>47</v>
      </c>
      <c r="H13" s="312"/>
      <c r="I13" s="140">
        <f t="shared" ref="I13:AU13" si="1">SUM(I11:I12)</f>
        <v>0</v>
      </c>
      <c r="J13" s="141">
        <f t="shared" si="1"/>
        <v>0</v>
      </c>
      <c r="K13" s="141">
        <f t="shared" si="1"/>
        <v>0</v>
      </c>
      <c r="L13" s="141">
        <f t="shared" si="1"/>
        <v>0</v>
      </c>
      <c r="M13" s="141">
        <f t="shared" si="1"/>
        <v>0</v>
      </c>
      <c r="N13" s="141">
        <f t="shared" si="1"/>
        <v>0</v>
      </c>
      <c r="O13" s="141">
        <f t="shared" si="1"/>
        <v>0</v>
      </c>
      <c r="P13" s="141">
        <f t="shared" si="1"/>
        <v>0</v>
      </c>
      <c r="Q13" s="141">
        <f t="shared" si="1"/>
        <v>0</v>
      </c>
      <c r="R13" s="141">
        <f t="shared" si="1"/>
        <v>0</v>
      </c>
      <c r="S13" s="141">
        <f t="shared" si="1"/>
        <v>0</v>
      </c>
      <c r="T13" s="141">
        <f t="shared" si="1"/>
        <v>0</v>
      </c>
      <c r="U13" s="141">
        <f t="shared" si="1"/>
        <v>0</v>
      </c>
      <c r="V13" s="141">
        <f t="shared" si="1"/>
        <v>0</v>
      </c>
      <c r="W13" s="142">
        <f t="shared" si="1"/>
        <v>0</v>
      </c>
      <c r="X13" s="143">
        <f t="shared" si="1"/>
        <v>0</v>
      </c>
      <c r="Y13" s="141">
        <f t="shared" si="1"/>
        <v>0</v>
      </c>
      <c r="Z13" s="141">
        <f t="shared" si="1"/>
        <v>0</v>
      </c>
      <c r="AA13" s="141">
        <f t="shared" si="1"/>
        <v>0</v>
      </c>
      <c r="AB13" s="141">
        <f t="shared" si="1"/>
        <v>0</v>
      </c>
      <c r="AC13" s="141">
        <f t="shared" si="1"/>
        <v>0</v>
      </c>
      <c r="AD13" s="141">
        <f t="shared" si="1"/>
        <v>0</v>
      </c>
      <c r="AE13" s="141">
        <f t="shared" si="1"/>
        <v>0</v>
      </c>
      <c r="AF13" s="141">
        <f t="shared" si="1"/>
        <v>1500</v>
      </c>
      <c r="AG13" s="141">
        <f t="shared" si="1"/>
        <v>0</v>
      </c>
      <c r="AH13" s="141">
        <f t="shared" si="1"/>
        <v>0</v>
      </c>
      <c r="AI13" s="141">
        <f t="shared" si="1"/>
        <v>0</v>
      </c>
      <c r="AJ13" s="141">
        <f t="shared" si="1"/>
        <v>0</v>
      </c>
      <c r="AK13" s="142">
        <f t="shared" si="1"/>
        <v>0</v>
      </c>
      <c r="AL13" s="143">
        <f t="shared" si="1"/>
        <v>17000</v>
      </c>
      <c r="AM13" s="141">
        <f t="shared" si="1"/>
        <v>0</v>
      </c>
      <c r="AN13" s="141">
        <f t="shared" si="1"/>
        <v>3000</v>
      </c>
      <c r="AO13" s="141">
        <f t="shared" si="1"/>
        <v>27000</v>
      </c>
      <c r="AP13" s="141">
        <f t="shared" si="1"/>
        <v>0</v>
      </c>
      <c r="AQ13" s="141">
        <f t="shared" si="1"/>
        <v>0</v>
      </c>
      <c r="AR13" s="141">
        <f t="shared" si="1"/>
        <v>0</v>
      </c>
      <c r="AS13" s="141">
        <f t="shared" si="1"/>
        <v>0</v>
      </c>
      <c r="AT13" s="141">
        <f t="shared" si="1"/>
        <v>0</v>
      </c>
      <c r="AU13" s="141">
        <f t="shared" si="1"/>
        <v>0</v>
      </c>
      <c r="AV13" s="144"/>
      <c r="AW13" s="265"/>
      <c r="AX13" s="131"/>
      <c r="AY13" s="136" t="s">
        <v>48</v>
      </c>
      <c r="AZ13" s="145">
        <v>0.25</v>
      </c>
      <c r="BA13" s="131"/>
      <c r="BB13" s="131"/>
      <c r="BC13" s="131"/>
      <c r="BD13" s="131"/>
      <c r="BE13" s="131"/>
      <c r="BF13" s="131"/>
      <c r="BG13" s="131"/>
      <c r="BH13" s="131"/>
      <c r="BI13" s="131"/>
      <c r="BJ13" s="131"/>
      <c r="BK13" s="138"/>
      <c r="BL13" s="138"/>
    </row>
    <row r="14" spans="1:64" ht="21" customHeight="1">
      <c r="A14" s="93"/>
      <c r="B14" s="303">
        <v>2</v>
      </c>
      <c r="C14" s="119"/>
      <c r="D14" s="290" t="s">
        <v>49</v>
      </c>
      <c r="E14" s="265"/>
      <c r="F14" s="265"/>
      <c r="G14" s="295" t="s">
        <v>50</v>
      </c>
      <c r="H14" s="296"/>
      <c r="I14" s="146">
        <f ca="1">IFERROR(__xludf.DUMMYFUNCTION("TRANSPOSE(IMPORTRANGE(""https://docs.google.com/spreadsheets/d/1qQtGxtQxl4quYXMPd_zQFdY6wDqctFn9YzueJfNjlEM/edit#gid=699824725"",""Salary Sheet!K13:K27""))"),0)</f>
        <v>0</v>
      </c>
      <c r="J14" s="146">
        <f ca="1">IFERROR(__xludf.DUMMYFUNCTION("""COMPUTED_VALUE"""),62.5)</f>
        <v>62.5</v>
      </c>
      <c r="K14" s="146">
        <f ca="1">IFERROR(__xludf.DUMMYFUNCTION("""COMPUTED_VALUE"""),125)</f>
        <v>125</v>
      </c>
      <c r="L14" s="146">
        <f ca="1">IFERROR(__xludf.DUMMYFUNCTION("""COMPUTED_VALUE"""),150)</f>
        <v>150</v>
      </c>
      <c r="M14" s="146">
        <f ca="1">IFERROR(__xludf.DUMMYFUNCTION("""COMPUTED_VALUE"""),62.5)</f>
        <v>62.5</v>
      </c>
      <c r="N14" s="146">
        <f ca="1">IFERROR(__xludf.DUMMYFUNCTION("""COMPUTED_VALUE"""),75)</f>
        <v>75</v>
      </c>
      <c r="O14" s="146">
        <f ca="1">IFERROR(__xludf.DUMMYFUNCTION("""COMPUTED_VALUE"""),87.5)</f>
        <v>87.5</v>
      </c>
      <c r="P14" s="146">
        <f ca="1">IFERROR(__xludf.DUMMYFUNCTION("""COMPUTED_VALUE"""),62.5)</f>
        <v>62.5</v>
      </c>
      <c r="Q14" s="146">
        <f ca="1">IFERROR(__xludf.DUMMYFUNCTION("""COMPUTED_VALUE"""),125)</f>
        <v>125</v>
      </c>
      <c r="R14" s="146">
        <f ca="1">IFERROR(__xludf.DUMMYFUNCTION("""COMPUTED_VALUE"""),175)</f>
        <v>175</v>
      </c>
      <c r="S14" s="146">
        <f ca="1">IFERROR(__xludf.DUMMYFUNCTION("""COMPUTED_VALUE"""),0)</f>
        <v>0</v>
      </c>
      <c r="T14" s="146">
        <f ca="1">IFERROR(__xludf.DUMMYFUNCTION("""COMPUTED_VALUE"""),0)</f>
        <v>0</v>
      </c>
      <c r="U14" s="146">
        <f ca="1">IFERROR(__xludf.DUMMYFUNCTION("""COMPUTED_VALUE"""),0)</f>
        <v>0</v>
      </c>
      <c r="V14" s="146">
        <f ca="1">IFERROR(__xludf.DUMMYFUNCTION("""COMPUTED_VALUE"""),0)</f>
        <v>0</v>
      </c>
      <c r="W14" s="146">
        <f ca="1">IFERROR(__xludf.DUMMYFUNCTION("""COMPUTED_VALUE"""),0)</f>
        <v>0</v>
      </c>
      <c r="X14" s="147">
        <f ca="1">IFERROR(__xludf.DUMMYFUNCTION("TRANSPOSE(IMPORTRANGE(""https://docs.google.com/spreadsheets/d/1qQtGxtQxl4quYXMPd_zQFdY6wDqctFn9YzueJfNjlEM/edit#gid=699824725"",""Salary Sheet!K29:K42""))"),0)</f>
        <v>0</v>
      </c>
      <c r="Y14" s="148">
        <f ca="1">IFERROR(__xludf.DUMMYFUNCTION("""COMPUTED_VALUE"""),187.5)</f>
        <v>187.5</v>
      </c>
      <c r="Z14" s="148">
        <f ca="1">IFERROR(__xludf.DUMMYFUNCTION("""COMPUTED_VALUE"""),162.5)</f>
        <v>162.5</v>
      </c>
      <c r="AA14" s="148">
        <f ca="1">IFERROR(__xludf.DUMMYFUNCTION("""COMPUTED_VALUE"""),200)</f>
        <v>200</v>
      </c>
      <c r="AB14" s="148">
        <f ca="1">IFERROR(__xludf.DUMMYFUNCTION("""COMPUTED_VALUE"""),312.5)</f>
        <v>312.5</v>
      </c>
      <c r="AC14" s="148">
        <f ca="1">IFERROR(__xludf.DUMMYFUNCTION("""COMPUTED_VALUE"""),375)</f>
        <v>375</v>
      </c>
      <c r="AD14" s="148">
        <f ca="1">IFERROR(__xludf.DUMMYFUNCTION("""COMPUTED_VALUE"""),212.5)</f>
        <v>212.5</v>
      </c>
      <c r="AE14" s="148">
        <f ca="1">IFERROR(__xludf.DUMMYFUNCTION("""COMPUTED_VALUE"""),284.375)</f>
        <v>284.375</v>
      </c>
      <c r="AF14" s="148">
        <f ca="1">IFERROR(__xludf.DUMMYFUNCTION("""COMPUTED_VALUE"""),318.75)</f>
        <v>318.75</v>
      </c>
      <c r="AG14" s="148">
        <f ca="1">IFERROR(__xludf.DUMMYFUNCTION("""COMPUTED_VALUE"""),425)</f>
        <v>425</v>
      </c>
      <c r="AH14" s="149">
        <f ca="1">IFERROR(__xludf.DUMMYFUNCTION("""COMPUTED_VALUE"""),125)</f>
        <v>125</v>
      </c>
      <c r="AI14" s="149">
        <f ca="1">IFERROR(__xludf.DUMMYFUNCTION("""COMPUTED_VALUE"""),25)</f>
        <v>25</v>
      </c>
      <c r="AJ14" s="149">
        <f ca="1">IFERROR(__xludf.DUMMYFUNCTION("""COMPUTED_VALUE"""),200)</f>
        <v>200</v>
      </c>
      <c r="AK14" s="149">
        <f ca="1">IFERROR(__xludf.DUMMYFUNCTION("""COMPUTED_VALUE"""),387.5)</f>
        <v>387.5</v>
      </c>
      <c r="AL14" s="147">
        <f ca="1">IFERROR(__xludf.DUMMYFUNCTION("TRANSPOSE(IMPORTRANGE(""https://docs.google.com/spreadsheets/d/1qQtGxtQxl4quYXMPd_zQFdY6wDqctFn9YzueJfNjlEM/edit#gid=699824725"",""Salary Sheet!K44:K53""))"),537.5)</f>
        <v>537.5</v>
      </c>
      <c r="AM14" s="148">
        <f ca="1">IFERROR(__xludf.DUMMYFUNCTION("""COMPUTED_VALUE"""),412.5)</f>
        <v>412.5</v>
      </c>
      <c r="AN14" s="148">
        <f ca="1">IFERROR(__xludf.DUMMYFUNCTION("""COMPUTED_VALUE"""),500)</f>
        <v>500</v>
      </c>
      <c r="AO14" s="148">
        <f ca="1">IFERROR(__xludf.DUMMYFUNCTION("""COMPUTED_VALUE"""),331.25)</f>
        <v>331.25</v>
      </c>
      <c r="AP14" s="148">
        <f ca="1">IFERROR(__xludf.DUMMYFUNCTION("""COMPUTED_VALUE"""),562.5)</f>
        <v>562.5</v>
      </c>
      <c r="AQ14" s="148">
        <f ca="1">IFERROR(__xludf.DUMMYFUNCTION("""COMPUTED_VALUE"""),725)</f>
        <v>725</v>
      </c>
      <c r="AR14" s="148">
        <f ca="1">IFERROR(__xludf.DUMMYFUNCTION("""COMPUTED_VALUE"""),706.25)</f>
        <v>706.25</v>
      </c>
      <c r="AS14" s="148">
        <f ca="1">IFERROR(__xludf.DUMMYFUNCTION("""COMPUTED_VALUE"""),706.25)</f>
        <v>706.25</v>
      </c>
      <c r="AT14" s="148">
        <f ca="1">IFERROR(__xludf.DUMMYFUNCTION("""COMPUTED_VALUE"""),0)</f>
        <v>0</v>
      </c>
      <c r="AU14" s="148">
        <f ca="1">IFERROR(__xludf.DUMMYFUNCTION("""COMPUTED_VALUE"""),0)</f>
        <v>0</v>
      </c>
      <c r="AV14" s="130">
        <f t="shared" ref="AV14:AV19" ca="1" si="2">SUM(I14:AU14)</f>
        <v>8621.875</v>
      </c>
      <c r="AW14" s="265"/>
      <c r="AX14" s="131"/>
      <c r="AY14" s="136" t="s">
        <v>51</v>
      </c>
      <c r="AZ14" s="145">
        <v>0.5</v>
      </c>
      <c r="BA14" s="131"/>
      <c r="BB14" s="131"/>
      <c r="BC14" s="131"/>
      <c r="BD14" s="131"/>
      <c r="BE14" s="131"/>
      <c r="BF14" s="131"/>
      <c r="BG14" s="131"/>
      <c r="BH14" s="131"/>
      <c r="BI14" s="131"/>
      <c r="BJ14" s="131"/>
      <c r="BK14" s="138"/>
      <c r="BL14" s="138"/>
    </row>
    <row r="15" spans="1:64" ht="21" customHeight="1">
      <c r="A15" s="93"/>
      <c r="B15" s="265"/>
      <c r="C15" s="119"/>
      <c r="D15" s="265"/>
      <c r="E15" s="265"/>
      <c r="F15" s="265"/>
      <c r="G15" s="295" t="s">
        <v>52</v>
      </c>
      <c r="H15" s="296"/>
      <c r="I15" s="150"/>
      <c r="J15" s="151"/>
      <c r="K15" s="151"/>
      <c r="L15" s="151">
        <f>(COUNTBLANK(I15:K15)+1)*AZ19</f>
        <v>2530.7692307692309</v>
      </c>
      <c r="M15" s="152"/>
      <c r="N15" s="152"/>
      <c r="O15" s="152">
        <f>(COUNTBLANK(M15:N15)+1)*AZ19</f>
        <v>1898.0769230769233</v>
      </c>
      <c r="P15" s="153"/>
      <c r="Q15" s="153"/>
      <c r="R15" s="153">
        <f>(COUNTBLANK(P15:Q15)+1)*AZ19</f>
        <v>1898.0769230769233</v>
      </c>
      <c r="S15" s="152"/>
      <c r="T15" s="152"/>
      <c r="U15" s="152"/>
      <c r="V15" s="152"/>
      <c r="W15" s="154"/>
      <c r="X15" s="155"/>
      <c r="Y15" s="152"/>
      <c r="Z15" s="152"/>
      <c r="AA15" s="152">
        <f>(COUNTBLANK(S15:Z15)+1)*AZ19</f>
        <v>5694.2307692307695</v>
      </c>
      <c r="AB15" s="153"/>
      <c r="AC15" s="153"/>
      <c r="AD15" s="153">
        <f>(COUNTBLANK(AB15:AC15)+1)*AZ19</f>
        <v>1898.0769230769233</v>
      </c>
      <c r="AE15" s="152"/>
      <c r="AF15" s="152"/>
      <c r="AG15" s="152">
        <f>(COUNTBLANK(AE15:AF15)+1)*AZ19</f>
        <v>1898.0769230769233</v>
      </c>
      <c r="AH15" s="151"/>
      <c r="AI15" s="151"/>
      <c r="AJ15" s="151"/>
      <c r="AK15" s="156"/>
      <c r="AL15" s="157"/>
      <c r="AM15" s="151"/>
      <c r="AN15" s="151"/>
      <c r="AO15" s="151">
        <f>(COUNTBLANK(AH15:AN15)+1)*AZ19</f>
        <v>5061.5384615384619</v>
      </c>
      <c r="AP15" s="158"/>
      <c r="AQ15" s="158"/>
      <c r="AR15" s="158">
        <f>(COUNTBLANK(AP15:AQ15)+1)*AZ19</f>
        <v>1898.0769230769233</v>
      </c>
      <c r="AS15" s="151"/>
      <c r="AT15" s="151"/>
      <c r="AU15" s="159">
        <f>(COUNTBLANK(AS15:AT15)+1)*AZ19</f>
        <v>1898.0769230769233</v>
      </c>
      <c r="AV15" s="130">
        <f t="shared" si="2"/>
        <v>24675</v>
      </c>
      <c r="AW15" s="265"/>
      <c r="AX15" s="131"/>
      <c r="AY15" s="160" t="s">
        <v>53</v>
      </c>
      <c r="AZ15" s="161">
        <v>0.25</v>
      </c>
      <c r="BA15" s="131"/>
      <c r="BB15" s="131"/>
      <c r="BC15" s="131"/>
      <c r="BD15" s="131"/>
      <c r="BE15" s="131"/>
      <c r="BF15" s="131"/>
      <c r="BG15" s="131"/>
      <c r="BH15" s="131"/>
      <c r="BI15" s="131"/>
      <c r="BJ15" s="131"/>
      <c r="BK15" s="138"/>
      <c r="BL15" s="138"/>
    </row>
    <row r="16" spans="1:64" ht="21" customHeight="1">
      <c r="A16" s="93"/>
      <c r="B16" s="265"/>
      <c r="C16" s="119"/>
      <c r="D16" s="265"/>
      <c r="E16" s="265"/>
      <c r="F16" s="265"/>
      <c r="G16" s="295" t="s">
        <v>54</v>
      </c>
      <c r="H16" s="296"/>
      <c r="I16" s="150"/>
      <c r="J16" s="151"/>
      <c r="K16" s="151"/>
      <c r="L16" s="151"/>
      <c r="M16" s="151"/>
      <c r="N16" s="151">
        <f t="shared" ref="N16:N17" si="3">(COUNTBLANK(I16:M16)+1)*AZ20</f>
        <v>600</v>
      </c>
      <c r="O16" s="158"/>
      <c r="P16" s="158"/>
      <c r="Q16" s="158"/>
      <c r="R16" s="158">
        <f t="shared" ref="R16:R17" si="4">(COUNTBLANK(O16:Q16)+1)*AZ20</f>
        <v>400</v>
      </c>
      <c r="S16" s="151"/>
      <c r="T16" s="151"/>
      <c r="U16" s="151"/>
      <c r="V16" s="151"/>
      <c r="W16" s="162"/>
      <c r="X16" s="150"/>
      <c r="Y16" s="151"/>
      <c r="Z16" s="151"/>
      <c r="AA16" s="151"/>
      <c r="AB16" s="151"/>
      <c r="AC16" s="151">
        <f t="shared" ref="AC16:AC17" si="5">(COUNTBLANK(S16:AB16)+1)*AZ20</f>
        <v>1100</v>
      </c>
      <c r="AD16" s="158"/>
      <c r="AE16" s="158"/>
      <c r="AF16" s="158"/>
      <c r="AG16" s="158">
        <f t="shared" ref="AG16:AG17" si="6">(COUNTBLANK(AD16:AF16)+1)*AZ20</f>
        <v>400</v>
      </c>
      <c r="AH16" s="151"/>
      <c r="AI16" s="151"/>
      <c r="AJ16" s="151"/>
      <c r="AK16" s="156"/>
      <c r="AL16" s="163"/>
      <c r="AM16" s="151"/>
      <c r="AN16" s="151"/>
      <c r="AO16" s="151"/>
      <c r="AP16" s="151"/>
      <c r="AQ16" s="151">
        <f t="shared" ref="AQ16:AQ17" si="7">(COUNTBLANK(AH16:AP16)+1)*AZ20</f>
        <v>1000</v>
      </c>
      <c r="AR16" s="158"/>
      <c r="AS16" s="158"/>
      <c r="AT16" s="158"/>
      <c r="AU16" s="164">
        <f t="shared" ref="AU16:AU17" si="8">(COUNTBLANK(AR16:AT16)+1)*AZ20</f>
        <v>400</v>
      </c>
      <c r="AV16" s="130">
        <f t="shared" si="2"/>
        <v>3900</v>
      </c>
      <c r="AW16" s="265"/>
      <c r="AX16" s="165"/>
      <c r="AY16" s="132" t="s">
        <v>55</v>
      </c>
      <c r="AZ16" s="133">
        <v>12.5</v>
      </c>
      <c r="BA16" s="166"/>
      <c r="BB16" s="166"/>
      <c r="BC16" s="166"/>
      <c r="BD16" s="166"/>
      <c r="BE16" s="166"/>
      <c r="BF16" s="166"/>
      <c r="BG16" s="166"/>
      <c r="BH16" s="166"/>
      <c r="BI16" s="166"/>
      <c r="BJ16" s="166"/>
      <c r="BK16" s="167"/>
      <c r="BL16" s="93"/>
    </row>
    <row r="17" spans="1:64" ht="21" customHeight="1">
      <c r="A17" s="93"/>
      <c r="B17" s="265"/>
      <c r="C17" s="119"/>
      <c r="D17" s="265"/>
      <c r="E17" s="265"/>
      <c r="F17" s="265"/>
      <c r="G17" s="295" t="s">
        <v>56</v>
      </c>
      <c r="H17" s="296"/>
      <c r="I17" s="150"/>
      <c r="J17" s="151"/>
      <c r="K17" s="151"/>
      <c r="L17" s="151"/>
      <c r="M17" s="151"/>
      <c r="N17" s="151">
        <f t="shared" si="3"/>
        <v>300</v>
      </c>
      <c r="O17" s="158"/>
      <c r="P17" s="158"/>
      <c r="Q17" s="158"/>
      <c r="R17" s="158">
        <f t="shared" si="4"/>
        <v>200</v>
      </c>
      <c r="S17" s="151"/>
      <c r="T17" s="151"/>
      <c r="U17" s="151"/>
      <c r="V17" s="151"/>
      <c r="W17" s="162"/>
      <c r="X17" s="150"/>
      <c r="Y17" s="151"/>
      <c r="Z17" s="151"/>
      <c r="AA17" s="151"/>
      <c r="AB17" s="151"/>
      <c r="AC17" s="151">
        <f t="shared" si="5"/>
        <v>550</v>
      </c>
      <c r="AD17" s="158"/>
      <c r="AE17" s="158"/>
      <c r="AF17" s="168"/>
      <c r="AG17" s="158">
        <f t="shared" si="6"/>
        <v>200</v>
      </c>
      <c r="AH17" s="151"/>
      <c r="AI17" s="151"/>
      <c r="AJ17" s="151"/>
      <c r="AK17" s="156"/>
      <c r="AL17" s="163"/>
      <c r="AM17" s="151"/>
      <c r="AN17" s="151"/>
      <c r="AO17" s="151"/>
      <c r="AP17" s="151"/>
      <c r="AQ17" s="151">
        <f t="shared" si="7"/>
        <v>500</v>
      </c>
      <c r="AR17" s="158"/>
      <c r="AS17" s="158"/>
      <c r="AT17" s="158"/>
      <c r="AU17" s="164">
        <f t="shared" si="8"/>
        <v>200</v>
      </c>
      <c r="AV17" s="130">
        <f t="shared" si="2"/>
        <v>1950</v>
      </c>
      <c r="AW17" s="265"/>
      <c r="AX17" s="166"/>
      <c r="AY17" s="136" t="s">
        <v>57</v>
      </c>
      <c r="AZ17" s="137">
        <v>7</v>
      </c>
      <c r="BA17" s="166"/>
      <c r="BB17" s="166"/>
      <c r="BC17" s="166"/>
      <c r="BD17" s="166"/>
      <c r="BE17" s="166"/>
      <c r="BF17" s="166"/>
      <c r="BG17" s="166"/>
      <c r="BH17" s="166"/>
      <c r="BI17" s="166"/>
      <c r="BJ17" s="166"/>
      <c r="BK17" s="167"/>
      <c r="BL17" s="93"/>
    </row>
    <row r="18" spans="1:64" ht="21" customHeight="1">
      <c r="A18" s="93"/>
      <c r="B18" s="265"/>
      <c r="C18" s="119"/>
      <c r="D18" s="265"/>
      <c r="E18" s="265"/>
      <c r="F18" s="265"/>
      <c r="G18" s="295" t="s">
        <v>58</v>
      </c>
      <c r="H18" s="296"/>
      <c r="I18" s="169"/>
      <c r="J18" s="126"/>
      <c r="K18" s="126"/>
      <c r="L18" s="126"/>
      <c r="M18" s="126"/>
      <c r="N18" s="126"/>
      <c r="O18" s="126"/>
      <c r="P18" s="126"/>
      <c r="Q18" s="126"/>
      <c r="R18" s="126"/>
      <c r="S18" s="170"/>
      <c r="T18" s="126"/>
      <c r="U18" s="126"/>
      <c r="V18" s="126"/>
      <c r="W18" s="171"/>
      <c r="X18" s="172"/>
      <c r="Y18" s="126"/>
      <c r="Z18" s="126"/>
      <c r="AA18" s="126"/>
      <c r="AB18" s="126"/>
      <c r="AC18" s="126"/>
      <c r="AD18" s="126"/>
      <c r="AE18" s="173"/>
      <c r="AF18" s="174">
        <f>AZ11*AZ13+AZ11*AZ13</f>
        <v>1500</v>
      </c>
      <c r="AG18" s="175"/>
      <c r="AH18" s="126"/>
      <c r="AI18" s="126"/>
      <c r="AJ18" s="126"/>
      <c r="AK18" s="176"/>
      <c r="AL18" s="172"/>
      <c r="AM18" s="126"/>
      <c r="AN18" s="177">
        <f>AZ11*AZ14</f>
        <v>1500</v>
      </c>
      <c r="AO18" s="174">
        <f>AZ11*AZ15</f>
        <v>750</v>
      </c>
      <c r="AP18" s="126"/>
      <c r="AQ18" s="126"/>
      <c r="AR18" s="126"/>
      <c r="AS18" s="126"/>
      <c r="AT18" s="126"/>
      <c r="AU18" s="171"/>
      <c r="AV18" s="130">
        <f t="shared" si="2"/>
        <v>3750</v>
      </c>
      <c r="AW18" s="265"/>
      <c r="AX18" s="166"/>
      <c r="AY18" s="136" t="s">
        <v>59</v>
      </c>
      <c r="AZ18" s="178">
        <f ca="1">AV14/AZ16</f>
        <v>689.75</v>
      </c>
      <c r="BA18" s="166"/>
      <c r="BB18" s="166"/>
      <c r="BC18" s="166"/>
      <c r="BD18" s="166"/>
      <c r="BE18" s="166"/>
      <c r="BF18" s="166"/>
      <c r="BG18" s="166"/>
      <c r="BH18" s="166"/>
      <c r="BI18" s="166"/>
      <c r="BJ18" s="166"/>
      <c r="BK18" s="167"/>
      <c r="BL18" s="93"/>
    </row>
    <row r="19" spans="1:64" ht="21" customHeight="1">
      <c r="A19" s="93"/>
      <c r="B19" s="265"/>
      <c r="C19" s="119"/>
      <c r="D19" s="265"/>
      <c r="E19" s="265"/>
      <c r="F19" s="265"/>
      <c r="G19" s="295" t="s">
        <v>60</v>
      </c>
      <c r="H19" s="296"/>
      <c r="I19" s="169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80"/>
      <c r="X19" s="181"/>
      <c r="Y19" s="179"/>
      <c r="Z19" s="179"/>
      <c r="AA19" s="179"/>
      <c r="AB19" s="179"/>
      <c r="AC19" s="179"/>
      <c r="AD19" s="182"/>
      <c r="AE19" s="183"/>
      <c r="AF19" s="184">
        <f>AZ11*AZ13</f>
        <v>750</v>
      </c>
      <c r="AG19" s="185">
        <f t="shared" ref="AG19:AK19" si="9">$AG$11*$AZ$26+$AZ$28</f>
        <v>0</v>
      </c>
      <c r="AH19" s="185">
        <f t="shared" si="9"/>
        <v>0</v>
      </c>
      <c r="AI19" s="185">
        <f t="shared" si="9"/>
        <v>0</v>
      </c>
      <c r="AJ19" s="185">
        <f t="shared" si="9"/>
        <v>0</v>
      </c>
      <c r="AK19" s="185">
        <f t="shared" si="9"/>
        <v>0</v>
      </c>
      <c r="AL19" s="186">
        <f t="shared" ref="AL19:AU19" si="10">($AG$11+$AL$11)*$AZ$26+$AZ$28</f>
        <v>53.077777777777783</v>
      </c>
      <c r="AM19" s="187">
        <f t="shared" si="10"/>
        <v>53.077777777777783</v>
      </c>
      <c r="AN19" s="187">
        <f t="shared" si="10"/>
        <v>53.077777777777783</v>
      </c>
      <c r="AO19" s="187">
        <f t="shared" si="10"/>
        <v>53.077777777777783</v>
      </c>
      <c r="AP19" s="187">
        <f t="shared" si="10"/>
        <v>53.077777777777783</v>
      </c>
      <c r="AQ19" s="187">
        <f t="shared" si="10"/>
        <v>53.077777777777783</v>
      </c>
      <c r="AR19" s="187">
        <f t="shared" si="10"/>
        <v>53.077777777777783</v>
      </c>
      <c r="AS19" s="187">
        <f t="shared" si="10"/>
        <v>53.077777777777783</v>
      </c>
      <c r="AT19" s="187">
        <f t="shared" si="10"/>
        <v>53.077777777777783</v>
      </c>
      <c r="AU19" s="187">
        <f t="shared" si="10"/>
        <v>53.077777777777783</v>
      </c>
      <c r="AV19" s="130">
        <f t="shared" si="2"/>
        <v>1280.7777777777778</v>
      </c>
      <c r="AW19" s="265"/>
      <c r="AX19" s="166"/>
      <c r="AY19" s="132" t="s">
        <v>61</v>
      </c>
      <c r="AZ19" s="133">
        <f>(1400*23.5)/52</f>
        <v>632.69230769230774</v>
      </c>
      <c r="BA19" s="166"/>
      <c r="BB19" s="166"/>
      <c r="BC19" s="166"/>
      <c r="BD19" s="166"/>
      <c r="BE19" s="166"/>
      <c r="BF19" s="166"/>
      <c r="BG19" s="166"/>
      <c r="BH19" s="166"/>
      <c r="BI19" s="166"/>
      <c r="BJ19" s="166"/>
      <c r="BK19" s="167"/>
      <c r="BL19" s="93"/>
    </row>
    <row r="20" spans="1:64" ht="21" customHeight="1">
      <c r="A20" s="93"/>
      <c r="B20" s="265"/>
      <c r="C20" s="188"/>
      <c r="D20" s="291"/>
      <c r="E20" s="291"/>
      <c r="F20" s="291"/>
      <c r="G20" s="313" t="s">
        <v>62</v>
      </c>
      <c r="H20" s="314"/>
      <c r="I20" s="189">
        <f t="shared" ref="I20:AU20" ca="1" si="11">SUM(I14:I19)</f>
        <v>0</v>
      </c>
      <c r="J20" s="189">
        <f t="shared" ca="1" si="11"/>
        <v>62.5</v>
      </c>
      <c r="K20" s="189">
        <f t="shared" ca="1" si="11"/>
        <v>125</v>
      </c>
      <c r="L20" s="189">
        <f t="shared" ca="1" si="11"/>
        <v>2680.7692307692309</v>
      </c>
      <c r="M20" s="189">
        <f t="shared" ca="1" si="11"/>
        <v>62.5</v>
      </c>
      <c r="N20" s="189">
        <f t="shared" ca="1" si="11"/>
        <v>975</v>
      </c>
      <c r="O20" s="189">
        <f t="shared" ca="1" si="11"/>
        <v>1985.5769230769233</v>
      </c>
      <c r="P20" s="189">
        <f t="shared" ca="1" si="11"/>
        <v>62.5</v>
      </c>
      <c r="Q20" s="189">
        <f t="shared" ca="1" si="11"/>
        <v>125</v>
      </c>
      <c r="R20" s="189">
        <f t="shared" ca="1" si="11"/>
        <v>2673.0769230769233</v>
      </c>
      <c r="S20" s="189">
        <f t="shared" ca="1" si="11"/>
        <v>0</v>
      </c>
      <c r="T20" s="189">
        <f t="shared" ca="1" si="11"/>
        <v>0</v>
      </c>
      <c r="U20" s="189">
        <f t="shared" ca="1" si="11"/>
        <v>0</v>
      </c>
      <c r="V20" s="189">
        <f t="shared" ca="1" si="11"/>
        <v>0</v>
      </c>
      <c r="W20" s="190">
        <f t="shared" ca="1" si="11"/>
        <v>0</v>
      </c>
      <c r="X20" s="189">
        <f t="shared" ca="1" si="11"/>
        <v>0</v>
      </c>
      <c r="Y20" s="189">
        <f t="shared" ca="1" si="11"/>
        <v>187.5</v>
      </c>
      <c r="Z20" s="189">
        <f t="shared" ca="1" si="11"/>
        <v>162.5</v>
      </c>
      <c r="AA20" s="189">
        <f t="shared" ca="1" si="11"/>
        <v>5894.2307692307695</v>
      </c>
      <c r="AB20" s="189">
        <f t="shared" ca="1" si="11"/>
        <v>312.5</v>
      </c>
      <c r="AC20" s="189">
        <f t="shared" ca="1" si="11"/>
        <v>2025</v>
      </c>
      <c r="AD20" s="189">
        <f t="shared" ca="1" si="11"/>
        <v>2110.5769230769233</v>
      </c>
      <c r="AE20" s="189">
        <f t="shared" ca="1" si="11"/>
        <v>284.375</v>
      </c>
      <c r="AF20" s="189">
        <f t="shared" ca="1" si="11"/>
        <v>2568.75</v>
      </c>
      <c r="AG20" s="189">
        <f t="shared" ca="1" si="11"/>
        <v>2923.0769230769233</v>
      </c>
      <c r="AH20" s="189">
        <f t="shared" ca="1" si="11"/>
        <v>125</v>
      </c>
      <c r="AI20" s="189">
        <f t="shared" ca="1" si="11"/>
        <v>25</v>
      </c>
      <c r="AJ20" s="189">
        <f t="shared" ca="1" si="11"/>
        <v>200</v>
      </c>
      <c r="AK20" s="190">
        <f t="shared" ca="1" si="11"/>
        <v>387.5</v>
      </c>
      <c r="AL20" s="189">
        <f t="shared" ca="1" si="11"/>
        <v>590.57777777777778</v>
      </c>
      <c r="AM20" s="189">
        <f t="shared" ca="1" si="11"/>
        <v>465.57777777777778</v>
      </c>
      <c r="AN20" s="189">
        <f t="shared" ca="1" si="11"/>
        <v>2053.0777777777776</v>
      </c>
      <c r="AO20" s="189">
        <f t="shared" ca="1" si="11"/>
        <v>6195.8662393162394</v>
      </c>
      <c r="AP20" s="189">
        <f t="shared" ca="1" si="11"/>
        <v>615.57777777777778</v>
      </c>
      <c r="AQ20" s="189">
        <f t="shared" ca="1" si="11"/>
        <v>2278.0777777777776</v>
      </c>
      <c r="AR20" s="189">
        <f t="shared" ca="1" si="11"/>
        <v>2657.4047008547013</v>
      </c>
      <c r="AS20" s="189">
        <f t="shared" ca="1" si="11"/>
        <v>759.32777777777778</v>
      </c>
      <c r="AT20" s="189">
        <f t="shared" ca="1" si="11"/>
        <v>53.077777777777783</v>
      </c>
      <c r="AU20" s="190">
        <f t="shared" ca="1" si="11"/>
        <v>2551.1547008547013</v>
      </c>
      <c r="AV20" s="144"/>
      <c r="AW20" s="265"/>
      <c r="AX20" s="166"/>
      <c r="AY20" s="136" t="s">
        <v>63</v>
      </c>
      <c r="AZ20" s="191">
        <v>100</v>
      </c>
      <c r="BB20" s="166"/>
      <c r="BC20" s="166"/>
      <c r="BD20" s="166"/>
      <c r="BE20" s="166"/>
      <c r="BF20" s="166"/>
      <c r="BG20" s="166"/>
      <c r="BH20" s="166"/>
      <c r="BI20" s="166"/>
      <c r="BJ20" s="166"/>
      <c r="BK20" s="167"/>
      <c r="BL20" s="93"/>
    </row>
    <row r="21" spans="1:64" ht="21" customHeight="1">
      <c r="A21" s="93"/>
      <c r="B21" s="304">
        <v>3</v>
      </c>
      <c r="C21" s="119"/>
      <c r="D21" s="292" t="s">
        <v>64</v>
      </c>
      <c r="E21" s="265"/>
      <c r="F21" s="265"/>
      <c r="G21" s="297" t="s">
        <v>65</v>
      </c>
      <c r="H21" s="296"/>
      <c r="I21" s="192"/>
      <c r="J21" s="193"/>
      <c r="K21" s="193"/>
      <c r="L21" s="193"/>
      <c r="M21" s="193"/>
      <c r="N21" s="193"/>
      <c r="O21" s="193"/>
      <c r="P21" s="193"/>
      <c r="Q21" s="193"/>
      <c r="R21" s="193"/>
      <c r="S21" s="193"/>
      <c r="T21" s="193"/>
      <c r="U21" s="193"/>
      <c r="V21" s="193"/>
      <c r="W21" s="194"/>
      <c r="X21" s="195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6"/>
      <c r="AL21" s="195"/>
      <c r="AM21" s="193"/>
      <c r="AN21" s="193"/>
      <c r="AO21" s="193"/>
      <c r="AP21" s="193"/>
      <c r="AQ21" s="193"/>
      <c r="AR21" s="193"/>
      <c r="AS21" s="193"/>
      <c r="AT21" s="193"/>
      <c r="AU21" s="194"/>
      <c r="AV21" s="130">
        <f t="shared" ref="AV21:AV23" si="12">SUM(I21:AU21)</f>
        <v>0</v>
      </c>
      <c r="AW21" s="265"/>
      <c r="AX21" s="166"/>
      <c r="AY21" s="160" t="s">
        <v>66</v>
      </c>
      <c r="AZ21" s="197">
        <v>50</v>
      </c>
      <c r="BB21" s="166"/>
      <c r="BC21" s="166"/>
      <c r="BD21" s="166"/>
      <c r="BE21" s="166"/>
      <c r="BF21" s="166"/>
      <c r="BG21" s="166"/>
      <c r="BH21" s="166"/>
      <c r="BI21" s="166"/>
      <c r="BJ21" s="166"/>
      <c r="BK21" s="167"/>
      <c r="BL21" s="93"/>
    </row>
    <row r="22" spans="1:64" ht="21" customHeight="1">
      <c r="A22" s="93"/>
      <c r="B22" s="265"/>
      <c r="C22" s="119"/>
      <c r="D22" s="265"/>
      <c r="E22" s="265"/>
      <c r="F22" s="265"/>
      <c r="G22" s="297" t="s">
        <v>67</v>
      </c>
      <c r="H22" s="296"/>
      <c r="I22" s="198"/>
      <c r="J22" s="199"/>
      <c r="K22" s="199"/>
      <c r="L22" s="199"/>
      <c r="M22" s="199"/>
      <c r="N22" s="199"/>
      <c r="O22" s="199"/>
      <c r="P22" s="199"/>
      <c r="Q22" s="199"/>
      <c r="R22" s="199"/>
      <c r="S22" s="199"/>
      <c r="T22" s="199"/>
      <c r="U22" s="199"/>
      <c r="V22" s="199"/>
      <c r="W22" s="200"/>
      <c r="X22" s="201"/>
      <c r="Y22" s="199"/>
      <c r="Z22" s="199"/>
      <c r="AA22" s="199"/>
      <c r="AB22" s="199"/>
      <c r="AC22" s="199"/>
      <c r="AD22" s="199"/>
      <c r="AE22" s="199"/>
      <c r="AF22" s="199"/>
      <c r="AG22" s="199"/>
      <c r="AH22" s="199"/>
      <c r="AI22" s="199"/>
      <c r="AJ22" s="199"/>
      <c r="AK22" s="202"/>
      <c r="AL22" s="201"/>
      <c r="AM22" s="199"/>
      <c r="AN22" s="199"/>
      <c r="AO22" s="199"/>
      <c r="AP22" s="199"/>
      <c r="AQ22" s="199"/>
      <c r="AR22" s="199"/>
      <c r="AS22" s="199"/>
      <c r="AT22" s="199"/>
      <c r="AU22" s="200"/>
      <c r="AV22" s="130">
        <f t="shared" si="12"/>
        <v>0</v>
      </c>
      <c r="AW22" s="265"/>
      <c r="AX22" s="166"/>
      <c r="AY22" s="132" t="s">
        <v>68</v>
      </c>
      <c r="AZ22" s="133">
        <v>42500</v>
      </c>
      <c r="BA22" s="166"/>
      <c r="BB22" s="166"/>
      <c r="BC22" s="166"/>
      <c r="BD22" s="166"/>
      <c r="BE22" s="166"/>
      <c r="BF22" s="166"/>
      <c r="BG22" s="166"/>
      <c r="BH22" s="166"/>
      <c r="BI22" s="166"/>
      <c r="BJ22" s="166"/>
      <c r="BK22" s="167"/>
      <c r="BL22" s="93"/>
    </row>
    <row r="23" spans="1:64" ht="21" customHeight="1">
      <c r="A23" s="93"/>
      <c r="B23" s="265"/>
      <c r="C23" s="119"/>
      <c r="D23" s="265"/>
      <c r="E23" s="265"/>
      <c r="F23" s="265"/>
      <c r="G23" s="297" t="s">
        <v>69</v>
      </c>
      <c r="H23" s="296"/>
      <c r="I23" s="198"/>
      <c r="J23" s="199"/>
      <c r="K23" s="199"/>
      <c r="L23" s="199"/>
      <c r="M23" s="199"/>
      <c r="N23" s="199"/>
      <c r="O23" s="199"/>
      <c r="P23" s="199"/>
      <c r="Q23" s="199"/>
      <c r="R23" s="199"/>
      <c r="S23" s="199"/>
      <c r="T23" s="199"/>
      <c r="U23" s="199"/>
      <c r="V23" s="199"/>
      <c r="W23" s="200"/>
      <c r="X23" s="201"/>
      <c r="Y23" s="199"/>
      <c r="Z23" s="199"/>
      <c r="AA23" s="199"/>
      <c r="AB23" s="199"/>
      <c r="AC23" s="199"/>
      <c r="AD23" s="199"/>
      <c r="AE23" s="199"/>
      <c r="AF23" s="199"/>
      <c r="AG23" s="199"/>
      <c r="AH23" s="199"/>
      <c r="AI23" s="199"/>
      <c r="AJ23" s="199"/>
      <c r="AK23" s="202"/>
      <c r="AL23" s="201"/>
      <c r="AM23" s="199"/>
      <c r="AN23" s="199"/>
      <c r="AO23" s="199"/>
      <c r="AP23" s="199"/>
      <c r="AQ23" s="199"/>
      <c r="AR23" s="199"/>
      <c r="AS23" s="199"/>
      <c r="AT23" s="199"/>
      <c r="AU23" s="200"/>
      <c r="AV23" s="130">
        <f t="shared" si="12"/>
        <v>0</v>
      </c>
      <c r="AW23" s="265"/>
      <c r="AX23" s="203"/>
      <c r="AY23" s="136" t="s">
        <v>70</v>
      </c>
      <c r="AZ23" s="145">
        <v>0.6</v>
      </c>
      <c r="BA23" s="203"/>
      <c r="BB23" s="203"/>
      <c r="BC23" s="203"/>
      <c r="BD23" s="203"/>
      <c r="BE23" s="203"/>
      <c r="BF23" s="203"/>
      <c r="BG23" s="203"/>
      <c r="BH23" s="203"/>
      <c r="BI23" s="203"/>
      <c r="BJ23" s="203"/>
      <c r="BK23" s="93"/>
      <c r="BL23" s="93"/>
    </row>
    <row r="24" spans="1:64" ht="21" customHeight="1">
      <c r="A24" s="93"/>
      <c r="B24" s="265"/>
      <c r="C24" s="204"/>
      <c r="D24" s="293"/>
      <c r="E24" s="293"/>
      <c r="F24" s="293"/>
      <c r="G24" s="298" t="s">
        <v>71</v>
      </c>
      <c r="H24" s="299"/>
      <c r="I24" s="205">
        <f t="shared" ref="I24:AU24" si="13">SUM(I21:I23)</f>
        <v>0</v>
      </c>
      <c r="J24" s="206">
        <f t="shared" si="13"/>
        <v>0</v>
      </c>
      <c r="K24" s="206">
        <f t="shared" si="13"/>
        <v>0</v>
      </c>
      <c r="L24" s="206">
        <f t="shared" si="13"/>
        <v>0</v>
      </c>
      <c r="M24" s="206">
        <f t="shared" si="13"/>
        <v>0</v>
      </c>
      <c r="N24" s="206">
        <f t="shared" si="13"/>
        <v>0</v>
      </c>
      <c r="O24" s="206">
        <f t="shared" si="13"/>
        <v>0</v>
      </c>
      <c r="P24" s="206">
        <f t="shared" si="13"/>
        <v>0</v>
      </c>
      <c r="Q24" s="206">
        <f t="shared" si="13"/>
        <v>0</v>
      </c>
      <c r="R24" s="206">
        <f t="shared" si="13"/>
        <v>0</v>
      </c>
      <c r="S24" s="206">
        <f t="shared" si="13"/>
        <v>0</v>
      </c>
      <c r="T24" s="206">
        <f t="shared" si="13"/>
        <v>0</v>
      </c>
      <c r="U24" s="206">
        <f t="shared" si="13"/>
        <v>0</v>
      </c>
      <c r="V24" s="206">
        <f t="shared" si="13"/>
        <v>0</v>
      </c>
      <c r="W24" s="207">
        <f t="shared" si="13"/>
        <v>0</v>
      </c>
      <c r="X24" s="205">
        <f t="shared" si="13"/>
        <v>0</v>
      </c>
      <c r="Y24" s="206">
        <f t="shared" si="13"/>
        <v>0</v>
      </c>
      <c r="Z24" s="206">
        <f t="shared" si="13"/>
        <v>0</v>
      </c>
      <c r="AA24" s="206">
        <f t="shared" si="13"/>
        <v>0</v>
      </c>
      <c r="AB24" s="206">
        <f t="shared" si="13"/>
        <v>0</v>
      </c>
      <c r="AC24" s="206">
        <f t="shared" si="13"/>
        <v>0</v>
      </c>
      <c r="AD24" s="206">
        <f t="shared" si="13"/>
        <v>0</v>
      </c>
      <c r="AE24" s="206">
        <f t="shared" si="13"/>
        <v>0</v>
      </c>
      <c r="AF24" s="206">
        <f t="shared" si="13"/>
        <v>0</v>
      </c>
      <c r="AG24" s="206">
        <f t="shared" si="13"/>
        <v>0</v>
      </c>
      <c r="AH24" s="206">
        <f t="shared" si="13"/>
        <v>0</v>
      </c>
      <c r="AI24" s="206">
        <f t="shared" si="13"/>
        <v>0</v>
      </c>
      <c r="AJ24" s="206">
        <f t="shared" si="13"/>
        <v>0</v>
      </c>
      <c r="AK24" s="208">
        <f t="shared" si="13"/>
        <v>0</v>
      </c>
      <c r="AL24" s="209">
        <f t="shared" si="13"/>
        <v>0</v>
      </c>
      <c r="AM24" s="206">
        <f t="shared" si="13"/>
        <v>0</v>
      </c>
      <c r="AN24" s="206">
        <f t="shared" si="13"/>
        <v>0</v>
      </c>
      <c r="AO24" s="206">
        <f t="shared" si="13"/>
        <v>0</v>
      </c>
      <c r="AP24" s="206">
        <f t="shared" si="13"/>
        <v>0</v>
      </c>
      <c r="AQ24" s="206">
        <f t="shared" si="13"/>
        <v>0</v>
      </c>
      <c r="AR24" s="206">
        <f t="shared" si="13"/>
        <v>0</v>
      </c>
      <c r="AS24" s="206">
        <f t="shared" si="13"/>
        <v>0</v>
      </c>
      <c r="AT24" s="206">
        <f t="shared" si="13"/>
        <v>0</v>
      </c>
      <c r="AU24" s="207">
        <f t="shared" si="13"/>
        <v>0</v>
      </c>
      <c r="AV24" s="144"/>
      <c r="AW24" s="265"/>
      <c r="AX24" s="203"/>
      <c r="AY24" s="136" t="s">
        <v>72</v>
      </c>
      <c r="AZ24" s="145">
        <v>0.4</v>
      </c>
      <c r="BA24" s="203"/>
      <c r="BB24" s="203"/>
      <c r="BC24" s="203"/>
      <c r="BD24" s="203"/>
      <c r="BE24" s="203"/>
      <c r="BF24" s="203"/>
      <c r="BG24" s="203"/>
      <c r="BH24" s="203"/>
      <c r="BI24" s="203"/>
      <c r="BJ24" s="203"/>
      <c r="BK24" s="93"/>
      <c r="BL24" s="93"/>
    </row>
    <row r="25" spans="1:64" ht="21" customHeight="1">
      <c r="A25" s="93"/>
      <c r="B25" s="305">
        <v>4</v>
      </c>
      <c r="C25" s="119"/>
      <c r="D25" s="272" t="s">
        <v>73</v>
      </c>
      <c r="E25" s="265"/>
      <c r="F25" s="265"/>
      <c r="G25" s="300" t="s">
        <v>74</v>
      </c>
      <c r="H25" s="296"/>
      <c r="I25" s="210">
        <f t="shared" ref="I25:AU25" ca="1" si="14">I13-I20-I24</f>
        <v>0</v>
      </c>
      <c r="J25" s="211">
        <f t="shared" ca="1" si="14"/>
        <v>-62.5</v>
      </c>
      <c r="K25" s="211">
        <f t="shared" ca="1" si="14"/>
        <v>-125</v>
      </c>
      <c r="L25" s="211">
        <f t="shared" ca="1" si="14"/>
        <v>-2680.7692307692309</v>
      </c>
      <c r="M25" s="211">
        <f t="shared" ca="1" si="14"/>
        <v>-62.5</v>
      </c>
      <c r="N25" s="211">
        <f t="shared" ca="1" si="14"/>
        <v>-975</v>
      </c>
      <c r="O25" s="211">
        <f t="shared" ca="1" si="14"/>
        <v>-1985.5769230769233</v>
      </c>
      <c r="P25" s="211">
        <f t="shared" ca="1" si="14"/>
        <v>-62.5</v>
      </c>
      <c r="Q25" s="211">
        <f t="shared" ca="1" si="14"/>
        <v>-125</v>
      </c>
      <c r="R25" s="211">
        <f t="shared" ca="1" si="14"/>
        <v>-2673.0769230769233</v>
      </c>
      <c r="S25" s="211">
        <f t="shared" ca="1" si="14"/>
        <v>0</v>
      </c>
      <c r="T25" s="211">
        <f t="shared" ca="1" si="14"/>
        <v>0</v>
      </c>
      <c r="U25" s="211">
        <f t="shared" ca="1" si="14"/>
        <v>0</v>
      </c>
      <c r="V25" s="211">
        <f t="shared" ca="1" si="14"/>
        <v>0</v>
      </c>
      <c r="W25" s="212">
        <f t="shared" ca="1" si="14"/>
        <v>0</v>
      </c>
      <c r="X25" s="213">
        <f t="shared" ca="1" si="14"/>
        <v>0</v>
      </c>
      <c r="Y25" s="211">
        <f t="shared" ca="1" si="14"/>
        <v>-187.5</v>
      </c>
      <c r="Z25" s="211">
        <f t="shared" ca="1" si="14"/>
        <v>-162.5</v>
      </c>
      <c r="AA25" s="211">
        <f t="shared" ca="1" si="14"/>
        <v>-5894.2307692307695</v>
      </c>
      <c r="AB25" s="211">
        <f t="shared" ca="1" si="14"/>
        <v>-312.5</v>
      </c>
      <c r="AC25" s="211">
        <f t="shared" ca="1" si="14"/>
        <v>-2025</v>
      </c>
      <c r="AD25" s="211">
        <f t="shared" ca="1" si="14"/>
        <v>-2110.5769230769233</v>
      </c>
      <c r="AE25" s="211">
        <f t="shared" ca="1" si="14"/>
        <v>-284.375</v>
      </c>
      <c r="AF25" s="211">
        <f t="shared" ca="1" si="14"/>
        <v>-1068.75</v>
      </c>
      <c r="AG25" s="211">
        <f t="shared" ca="1" si="14"/>
        <v>-2923.0769230769233</v>
      </c>
      <c r="AH25" s="211">
        <f t="shared" ca="1" si="14"/>
        <v>-125</v>
      </c>
      <c r="AI25" s="211">
        <f t="shared" ca="1" si="14"/>
        <v>-25</v>
      </c>
      <c r="AJ25" s="211">
        <f t="shared" ca="1" si="14"/>
        <v>-200</v>
      </c>
      <c r="AK25" s="212">
        <f t="shared" ca="1" si="14"/>
        <v>-387.5</v>
      </c>
      <c r="AL25" s="213">
        <f t="shared" ca="1" si="14"/>
        <v>16409.422222222223</v>
      </c>
      <c r="AM25" s="211">
        <f t="shared" ca="1" si="14"/>
        <v>-465.57777777777778</v>
      </c>
      <c r="AN25" s="211">
        <f t="shared" ca="1" si="14"/>
        <v>946.92222222222244</v>
      </c>
      <c r="AO25" s="211">
        <f t="shared" ca="1" si="14"/>
        <v>20804.133760683762</v>
      </c>
      <c r="AP25" s="211">
        <f t="shared" ca="1" si="14"/>
        <v>-615.57777777777778</v>
      </c>
      <c r="AQ25" s="211">
        <f t="shared" ca="1" si="14"/>
        <v>-2278.0777777777776</v>
      </c>
      <c r="AR25" s="211">
        <f t="shared" ca="1" si="14"/>
        <v>-2657.4047008547013</v>
      </c>
      <c r="AS25" s="211">
        <f t="shared" ca="1" si="14"/>
        <v>-759.32777777777778</v>
      </c>
      <c r="AT25" s="211">
        <f t="shared" ca="1" si="14"/>
        <v>-53.077777777777783</v>
      </c>
      <c r="AU25" s="214">
        <f t="shared" ca="1" si="14"/>
        <v>-2551.1547008547013</v>
      </c>
      <c r="AV25" s="117"/>
      <c r="AW25" s="215"/>
      <c r="AX25" s="203"/>
      <c r="AY25" s="136" t="s">
        <v>75</v>
      </c>
      <c r="AZ25" s="145">
        <v>0.1686</v>
      </c>
      <c r="BA25" s="203"/>
      <c r="BB25" s="203"/>
      <c r="BC25" s="203"/>
      <c r="BD25" s="203"/>
      <c r="BE25" s="203"/>
      <c r="BF25" s="203"/>
      <c r="BG25" s="203"/>
      <c r="BH25" s="203"/>
      <c r="BI25" s="203"/>
      <c r="BJ25" s="203"/>
      <c r="BK25" s="93"/>
      <c r="BL25" s="93"/>
    </row>
    <row r="26" spans="1:64" ht="21" customHeight="1">
      <c r="A26" s="93"/>
      <c r="B26" s="274"/>
      <c r="C26" s="216"/>
      <c r="D26" s="294"/>
      <c r="E26" s="294"/>
      <c r="F26" s="294"/>
      <c r="G26" s="301" t="s">
        <v>76</v>
      </c>
      <c r="H26" s="302"/>
      <c r="I26" s="217">
        <f t="shared" ref="I26:AU26" ca="1" si="15">SUM($I$25:I$25)</f>
        <v>0</v>
      </c>
      <c r="J26" s="218">
        <f t="shared" ca="1" si="15"/>
        <v>-62.5</v>
      </c>
      <c r="K26" s="218">
        <f t="shared" ca="1" si="15"/>
        <v>-187.5</v>
      </c>
      <c r="L26" s="218">
        <f t="shared" ca="1" si="15"/>
        <v>-2868.2692307692309</v>
      </c>
      <c r="M26" s="218">
        <f t="shared" ca="1" si="15"/>
        <v>-2930.7692307692309</v>
      </c>
      <c r="N26" s="218">
        <f t="shared" ca="1" si="15"/>
        <v>-3905.7692307692309</v>
      </c>
      <c r="O26" s="218">
        <f t="shared" ca="1" si="15"/>
        <v>-5891.3461538461543</v>
      </c>
      <c r="P26" s="218">
        <f t="shared" ca="1" si="15"/>
        <v>-5953.8461538461543</v>
      </c>
      <c r="Q26" s="218">
        <f t="shared" ca="1" si="15"/>
        <v>-6078.8461538461543</v>
      </c>
      <c r="R26" s="218">
        <f t="shared" ca="1" si="15"/>
        <v>-8751.923076923078</v>
      </c>
      <c r="S26" s="218">
        <f t="shared" ca="1" si="15"/>
        <v>-8751.923076923078</v>
      </c>
      <c r="T26" s="218">
        <f t="shared" ca="1" si="15"/>
        <v>-8751.923076923078</v>
      </c>
      <c r="U26" s="218">
        <f t="shared" ca="1" si="15"/>
        <v>-8751.923076923078</v>
      </c>
      <c r="V26" s="218">
        <f t="shared" ca="1" si="15"/>
        <v>-8751.923076923078</v>
      </c>
      <c r="W26" s="219">
        <f t="shared" ca="1" si="15"/>
        <v>-8751.923076923078</v>
      </c>
      <c r="X26" s="217">
        <f t="shared" ca="1" si="15"/>
        <v>-8751.923076923078</v>
      </c>
      <c r="Y26" s="218">
        <f t="shared" ca="1" si="15"/>
        <v>-8939.423076923078</v>
      </c>
      <c r="Z26" s="218">
        <f t="shared" ca="1" si="15"/>
        <v>-9101.923076923078</v>
      </c>
      <c r="AA26" s="218">
        <f t="shared" ca="1" si="15"/>
        <v>-14996.153846153848</v>
      </c>
      <c r="AB26" s="218">
        <f t="shared" ca="1" si="15"/>
        <v>-15308.653846153848</v>
      </c>
      <c r="AC26" s="218">
        <f t="shared" ca="1" si="15"/>
        <v>-17333.653846153848</v>
      </c>
      <c r="AD26" s="218">
        <f t="shared" ca="1" si="15"/>
        <v>-19444.23076923077</v>
      </c>
      <c r="AE26" s="218">
        <f t="shared" ca="1" si="15"/>
        <v>-19728.60576923077</v>
      </c>
      <c r="AF26" s="218">
        <f t="shared" ca="1" si="15"/>
        <v>-20797.35576923077</v>
      </c>
      <c r="AG26" s="218">
        <f t="shared" ca="1" si="15"/>
        <v>-23720.432692307691</v>
      </c>
      <c r="AH26" s="218">
        <f t="shared" ca="1" si="15"/>
        <v>-23845.432692307691</v>
      </c>
      <c r="AI26" s="218">
        <f t="shared" ca="1" si="15"/>
        <v>-23870.432692307691</v>
      </c>
      <c r="AJ26" s="218">
        <f t="shared" ca="1" si="15"/>
        <v>-24070.432692307691</v>
      </c>
      <c r="AK26" s="219">
        <f t="shared" ca="1" si="15"/>
        <v>-24457.932692307691</v>
      </c>
      <c r="AL26" s="220">
        <f t="shared" ca="1" si="15"/>
        <v>-8048.5104700854681</v>
      </c>
      <c r="AM26" s="218">
        <f t="shared" ca="1" si="15"/>
        <v>-8514.0882478632466</v>
      </c>
      <c r="AN26" s="218">
        <f t="shared" ca="1" si="15"/>
        <v>-7567.1660256410241</v>
      </c>
      <c r="AO26" s="218">
        <f t="shared" ca="1" si="15"/>
        <v>13236.967735042737</v>
      </c>
      <c r="AP26" s="218">
        <f t="shared" ca="1" si="15"/>
        <v>12621.389957264959</v>
      </c>
      <c r="AQ26" s="218">
        <f t="shared" ca="1" si="15"/>
        <v>10343.31217948718</v>
      </c>
      <c r="AR26" s="218">
        <f t="shared" ca="1" si="15"/>
        <v>7685.9074786324791</v>
      </c>
      <c r="AS26" s="218">
        <f t="shared" ca="1" si="15"/>
        <v>6926.5797008547015</v>
      </c>
      <c r="AT26" s="218">
        <f t="shared" ca="1" si="15"/>
        <v>6873.501923076924</v>
      </c>
      <c r="AU26" s="219">
        <f t="shared" ca="1" si="15"/>
        <v>4322.3472222222226</v>
      </c>
      <c r="AV26" s="117"/>
      <c r="AW26" s="215"/>
      <c r="AX26" s="203"/>
      <c r="AY26" s="136" t="s">
        <v>77</v>
      </c>
      <c r="AZ26" s="145">
        <f>AZ25/54</f>
        <v>3.1222222222222224E-3</v>
      </c>
      <c r="BA26" s="203"/>
      <c r="BB26" s="203"/>
      <c r="BC26" s="203"/>
      <c r="BD26" s="203"/>
      <c r="BE26" s="203"/>
      <c r="BF26" s="203"/>
      <c r="BG26" s="203"/>
      <c r="BH26" s="203"/>
      <c r="BI26" s="203"/>
      <c r="BJ26" s="203"/>
      <c r="BK26" s="93"/>
      <c r="BL26" s="93"/>
    </row>
    <row r="27" spans="1:64" ht="21" customHeight="1">
      <c r="A27" s="93"/>
      <c r="B27" s="306"/>
      <c r="C27" s="221"/>
      <c r="D27" s="222"/>
      <c r="E27" s="222"/>
      <c r="F27" s="222"/>
      <c r="G27" s="222"/>
      <c r="H27" s="222"/>
      <c r="I27" s="222"/>
      <c r="J27" s="222"/>
      <c r="K27" s="222"/>
      <c r="L27" s="222"/>
      <c r="M27" s="222"/>
      <c r="N27" s="222"/>
      <c r="O27" s="222"/>
      <c r="P27" s="222"/>
      <c r="Q27" s="222"/>
      <c r="R27" s="222"/>
      <c r="S27" s="222"/>
      <c r="T27" s="222"/>
      <c r="U27" s="222"/>
      <c r="V27" s="222"/>
      <c r="W27" s="222"/>
      <c r="X27" s="222"/>
      <c r="Y27" s="222"/>
      <c r="Z27" s="222"/>
      <c r="AA27" s="222"/>
      <c r="AB27" s="222"/>
      <c r="AC27" s="222"/>
      <c r="AD27" s="222"/>
      <c r="AE27" s="222"/>
      <c r="AF27" s="222"/>
      <c r="AG27" s="222"/>
      <c r="AH27" s="222"/>
      <c r="AI27" s="222"/>
      <c r="AJ27" s="222"/>
      <c r="AK27" s="222"/>
      <c r="AL27" s="222"/>
      <c r="AM27" s="222"/>
      <c r="AN27" s="272" t="s">
        <v>78</v>
      </c>
      <c r="AO27" s="265"/>
      <c r="AP27" s="265"/>
      <c r="AQ27" s="265"/>
      <c r="AR27" s="273">
        <f>SUM(AV11:AV12)</f>
        <v>48500</v>
      </c>
      <c r="AS27" s="274"/>
      <c r="AT27" s="274"/>
      <c r="AU27" s="275"/>
      <c r="AV27" s="117"/>
      <c r="AW27" s="215"/>
      <c r="AX27" s="203"/>
      <c r="AY27" s="223"/>
      <c r="AZ27" s="224"/>
      <c r="BA27" s="203"/>
      <c r="BB27" s="203"/>
      <c r="BC27" s="203"/>
      <c r="BD27" s="203"/>
      <c r="BE27" s="203"/>
      <c r="BF27" s="203"/>
      <c r="BG27" s="203"/>
      <c r="BH27" s="203"/>
      <c r="BI27" s="203"/>
      <c r="BJ27" s="203"/>
      <c r="BK27" s="93"/>
      <c r="BL27" s="93"/>
    </row>
    <row r="28" spans="1:64" ht="21" customHeight="1">
      <c r="A28" s="93"/>
      <c r="B28" s="265"/>
      <c r="C28" s="221"/>
      <c r="D28" s="222"/>
      <c r="E28" s="222"/>
      <c r="F28" s="222"/>
      <c r="G28" s="222"/>
      <c r="H28" s="222"/>
      <c r="I28" s="222"/>
      <c r="J28" s="222"/>
      <c r="K28" s="222"/>
      <c r="L28" s="222"/>
      <c r="M28" s="222"/>
      <c r="N28" s="222"/>
      <c r="O28" s="222"/>
      <c r="P28" s="222"/>
      <c r="Q28" s="222"/>
      <c r="R28" s="222"/>
      <c r="S28" s="222"/>
      <c r="T28" s="222"/>
      <c r="U28" s="222"/>
      <c r="V28" s="222"/>
      <c r="W28" s="222"/>
      <c r="X28" s="222"/>
      <c r="Y28" s="222"/>
      <c r="Z28" s="222"/>
      <c r="AA28" s="222"/>
      <c r="AB28" s="222"/>
      <c r="AC28" s="222"/>
      <c r="AD28" s="222"/>
      <c r="AE28" s="222"/>
      <c r="AF28" s="222"/>
      <c r="AG28" s="222"/>
      <c r="AH28" s="222"/>
      <c r="AI28" s="222"/>
      <c r="AJ28" s="222"/>
      <c r="AK28" s="222"/>
      <c r="AL28" s="222"/>
      <c r="AM28" s="222"/>
      <c r="AN28" s="272" t="s">
        <v>79</v>
      </c>
      <c r="AO28" s="265"/>
      <c r="AP28" s="265"/>
      <c r="AQ28" s="265"/>
      <c r="AR28" s="273">
        <f ca="1">-SUM(AV14:AV19)</f>
        <v>-44177.652777777781</v>
      </c>
      <c r="AS28" s="274"/>
      <c r="AT28" s="274"/>
      <c r="AU28" s="275"/>
      <c r="AV28" s="117"/>
      <c r="AW28" s="93"/>
      <c r="AX28" s="203"/>
      <c r="AY28" s="225"/>
      <c r="AZ28" s="226"/>
      <c r="BA28" s="203"/>
      <c r="BB28" s="203"/>
      <c r="BC28" s="203"/>
      <c r="BD28" s="203"/>
      <c r="BE28" s="203"/>
      <c r="BF28" s="203"/>
      <c r="BG28" s="203"/>
      <c r="BH28" s="203"/>
      <c r="BI28" s="203"/>
      <c r="BJ28" s="203"/>
      <c r="BK28" s="93"/>
      <c r="BL28" s="93"/>
    </row>
    <row r="29" spans="1:64" ht="21" customHeight="1">
      <c r="A29" s="93"/>
      <c r="B29" s="265"/>
      <c r="C29" s="221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  <c r="AJ29" s="222"/>
      <c r="AK29" s="222"/>
      <c r="AL29" s="222"/>
      <c r="AM29" s="222"/>
      <c r="AN29" s="272" t="s">
        <v>80</v>
      </c>
      <c r="AO29" s="265"/>
      <c r="AP29" s="265"/>
      <c r="AQ29" s="265"/>
      <c r="AR29" s="273">
        <f ca="1">AR27+AR28</f>
        <v>4322.347222222219</v>
      </c>
      <c r="AS29" s="274"/>
      <c r="AT29" s="274"/>
      <c r="AU29" s="275"/>
      <c r="AV29" s="117"/>
      <c r="AX29" s="203"/>
      <c r="AY29" s="203"/>
      <c r="AZ29" s="203"/>
      <c r="BA29" s="203"/>
      <c r="BB29" s="203"/>
      <c r="BC29" s="203"/>
      <c r="BD29" s="203"/>
      <c r="BE29" s="203"/>
      <c r="BF29" s="203"/>
      <c r="BG29" s="203"/>
      <c r="BH29" s="203"/>
      <c r="BI29" s="203"/>
      <c r="BJ29" s="203"/>
      <c r="BK29" s="93"/>
      <c r="BL29" s="93"/>
    </row>
    <row r="30" spans="1:64" ht="21" customHeight="1">
      <c r="A30" s="93"/>
      <c r="B30" s="93"/>
      <c r="C30" s="93"/>
      <c r="D30" s="93"/>
      <c r="E30" s="93"/>
      <c r="F30" s="93"/>
      <c r="G30" s="93"/>
      <c r="H30" s="227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203"/>
      <c r="AY30" s="203"/>
      <c r="AZ30" s="203"/>
      <c r="BA30" s="203"/>
      <c r="BB30" s="203"/>
      <c r="BC30" s="203"/>
      <c r="BD30" s="203"/>
      <c r="BE30" s="203"/>
      <c r="BF30" s="203"/>
      <c r="BG30" s="203"/>
      <c r="BH30" s="203"/>
      <c r="BI30" s="203"/>
      <c r="BJ30" s="203"/>
      <c r="BK30" s="93"/>
      <c r="BL30" s="93"/>
    </row>
    <row r="31" spans="1:64" ht="21" customHeight="1">
      <c r="A31" s="93"/>
      <c r="B31" s="93"/>
      <c r="C31" s="93"/>
      <c r="D31" s="93"/>
      <c r="E31" s="93"/>
      <c r="F31" s="93"/>
      <c r="G31" s="93"/>
      <c r="H31" s="227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W31" s="93"/>
      <c r="AX31" s="203"/>
      <c r="AY31" s="203"/>
      <c r="AZ31" s="203"/>
      <c r="BA31" s="203"/>
      <c r="BB31" s="203"/>
      <c r="BC31" s="203"/>
      <c r="BD31" s="203"/>
      <c r="BE31" s="203"/>
      <c r="BF31" s="203"/>
      <c r="BG31" s="203"/>
      <c r="BH31" s="203"/>
      <c r="BI31" s="203"/>
      <c r="BJ31" s="203"/>
      <c r="BK31" s="93"/>
      <c r="BL31" s="93"/>
    </row>
    <row r="32" spans="1:64" ht="21" customHeight="1">
      <c r="A32" s="93"/>
      <c r="B32" s="93"/>
      <c r="C32" s="93"/>
      <c r="D32" s="93"/>
      <c r="E32" s="93"/>
      <c r="F32" s="93"/>
      <c r="G32" s="93"/>
      <c r="H32" s="227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X32" s="93"/>
      <c r="AY32" s="228"/>
      <c r="AZ32" s="228"/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3"/>
    </row>
    <row r="33" spans="1:64" ht="21" customHeight="1">
      <c r="A33" s="93"/>
      <c r="B33" s="93"/>
      <c r="C33" s="93"/>
      <c r="D33" s="93"/>
      <c r="E33" s="93"/>
      <c r="F33" s="93"/>
      <c r="G33" s="93"/>
      <c r="H33" s="227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Y33" s="93"/>
      <c r="AZ33" s="93"/>
      <c r="BA33" s="93"/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3"/>
    </row>
    <row r="34" spans="1:64" ht="21" customHeight="1">
      <c r="A34" s="93"/>
      <c r="AX34" s="93"/>
      <c r="AY34" s="93"/>
      <c r="AZ34" s="93"/>
      <c r="BA34" s="93"/>
      <c r="BB34" s="93"/>
      <c r="BC34" s="93"/>
      <c r="BD34" s="93"/>
      <c r="BE34" s="93"/>
      <c r="BF34" s="93"/>
      <c r="BG34" s="93"/>
      <c r="BH34" s="93"/>
      <c r="BI34" s="93"/>
      <c r="BJ34" s="93"/>
      <c r="BK34" s="93"/>
      <c r="BL34" s="93"/>
    </row>
    <row r="35" spans="1:64" ht="21" customHeight="1">
      <c r="A35" s="93"/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/>
      <c r="BI35" s="93"/>
      <c r="BJ35" s="93"/>
      <c r="BK35" s="93"/>
      <c r="BL35" s="93"/>
    </row>
  </sheetData>
  <mergeCells count="45">
    <mergeCell ref="G9:H9"/>
    <mergeCell ref="G10:H10"/>
    <mergeCell ref="B11:B13"/>
    <mergeCell ref="G11:H11"/>
    <mergeCell ref="G12:H12"/>
    <mergeCell ref="G13:H13"/>
    <mergeCell ref="G26:H26"/>
    <mergeCell ref="B14:B20"/>
    <mergeCell ref="B21:B24"/>
    <mergeCell ref="B25:B26"/>
    <mergeCell ref="B27:B29"/>
    <mergeCell ref="G20:H20"/>
    <mergeCell ref="I8:W8"/>
    <mergeCell ref="D11:F13"/>
    <mergeCell ref="D14:F20"/>
    <mergeCell ref="D21:F24"/>
    <mergeCell ref="D25:F26"/>
    <mergeCell ref="G14:H14"/>
    <mergeCell ref="G15:H15"/>
    <mergeCell ref="G16:H16"/>
    <mergeCell ref="G17:H17"/>
    <mergeCell ref="G18:H18"/>
    <mergeCell ref="G19:H19"/>
    <mergeCell ref="G21:H21"/>
    <mergeCell ref="G22:H22"/>
    <mergeCell ref="G23:H23"/>
    <mergeCell ref="G24:H24"/>
    <mergeCell ref="G25:H25"/>
    <mergeCell ref="B2:F2"/>
    <mergeCell ref="I2:N2"/>
    <mergeCell ref="I4:O4"/>
    <mergeCell ref="P4:T4"/>
    <mergeCell ref="I5:O5"/>
    <mergeCell ref="P5:T5"/>
    <mergeCell ref="AW8:AW24"/>
    <mergeCell ref="AV9:AV10"/>
    <mergeCell ref="BA9:BE9"/>
    <mergeCell ref="AN27:AQ27"/>
    <mergeCell ref="AR27:AU27"/>
    <mergeCell ref="AN28:AQ28"/>
    <mergeCell ref="AR28:AU28"/>
    <mergeCell ref="AN29:AQ29"/>
    <mergeCell ref="AR29:AU29"/>
    <mergeCell ref="X8:AK8"/>
    <mergeCell ref="AL8:AU8"/>
  </mergeCells>
  <conditionalFormatting sqref="AN18">
    <cfRule type="notContainsBlanks" dxfId="0" priority="1">
      <formula>LEN(TRIM(AN18))&gt;0</formula>
    </cfRule>
  </conditionalFormatting>
  <printOptions horizontalCentered="1" verticalCentered="1" gridLines="1"/>
  <pageMargins left="0.7" right="0.7" top="0.75" bottom="0.75" header="0" footer="0"/>
  <pageSetup paperSize="9" fitToWidth="0" pageOrder="overThenDown" orientation="landscape" cellComments="atEnd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39"/>
  <sheetViews>
    <sheetView showGridLines="0" tabSelected="1" topLeftCell="A10" workbookViewId="0">
      <selection activeCell="K18" sqref="K18"/>
    </sheetView>
  </sheetViews>
  <sheetFormatPr defaultColWidth="12.5703125" defaultRowHeight="15.75" customHeight="1"/>
  <cols>
    <col min="1" max="1" width="5.140625" customWidth="1"/>
    <col min="4" max="4" width="40.42578125" customWidth="1"/>
    <col min="5" max="5" width="3.140625" customWidth="1"/>
    <col min="6" max="6" width="24.7109375" bestFit="1" customWidth="1"/>
    <col min="7" max="7" width="17.140625" customWidth="1"/>
    <col min="8" max="8" width="5.140625" customWidth="1"/>
  </cols>
  <sheetData>
    <row r="1" spans="1:8" ht="6" customHeight="1">
      <c r="A1" s="229"/>
      <c r="B1" s="229"/>
      <c r="C1" s="229"/>
      <c r="D1" s="229"/>
      <c r="E1" s="229"/>
      <c r="F1" s="230"/>
      <c r="G1" s="230"/>
      <c r="H1" s="229"/>
    </row>
    <row r="2" spans="1:8" ht="19.5" customHeight="1">
      <c r="A2" s="231"/>
      <c r="B2" s="231"/>
      <c r="C2" s="231"/>
      <c r="D2" s="231"/>
      <c r="E2" s="231"/>
      <c r="F2" s="232"/>
      <c r="G2" s="232"/>
      <c r="H2" s="231"/>
    </row>
    <row r="3" spans="1:8" ht="33.75">
      <c r="A3" s="233"/>
      <c r="B3" s="315" t="s">
        <v>81</v>
      </c>
      <c r="C3" s="316"/>
      <c r="D3" s="317"/>
      <c r="E3" s="316"/>
      <c r="F3" s="316"/>
      <c r="G3" s="318"/>
      <c r="H3" s="233"/>
    </row>
    <row r="4" spans="1:8" ht="19.5" customHeight="1">
      <c r="A4" s="231"/>
      <c r="B4" s="234"/>
      <c r="C4" s="231"/>
      <c r="D4" s="231"/>
      <c r="E4" s="231"/>
      <c r="F4" s="232"/>
      <c r="G4" s="232"/>
      <c r="H4" s="231"/>
    </row>
    <row r="5" spans="1:8" ht="30.75" customHeight="1">
      <c r="A5" s="235"/>
      <c r="B5" s="236" t="s">
        <v>82</v>
      </c>
      <c r="C5" s="237"/>
      <c r="D5" s="237"/>
      <c r="E5" s="237"/>
      <c r="F5" s="237"/>
      <c r="G5" s="238"/>
      <c r="H5" s="231"/>
    </row>
    <row r="6" spans="1:8" ht="4.5" customHeight="1">
      <c r="A6" s="239"/>
      <c r="B6" s="240"/>
      <c r="C6" s="240"/>
      <c r="D6" s="240"/>
      <c r="E6" s="240"/>
      <c r="F6" s="241"/>
      <c r="G6" s="240"/>
      <c r="H6" s="242"/>
    </row>
    <row r="7" spans="1:8" ht="19.5" customHeight="1">
      <c r="A7" s="242"/>
      <c r="B7" s="242"/>
      <c r="C7" s="242"/>
      <c r="D7" s="242"/>
      <c r="E7" s="242"/>
      <c r="F7" s="243" t="s">
        <v>5</v>
      </c>
      <c r="G7" s="244"/>
      <c r="H7" s="242"/>
    </row>
    <row r="8" spans="1:8" ht="19.5" customHeight="1">
      <c r="A8" s="242"/>
      <c r="B8" s="242"/>
      <c r="C8" s="242"/>
      <c r="D8" s="242"/>
      <c r="E8" s="242"/>
      <c r="F8" s="245" t="str">
        <f t="array" ref="F8:F10">'Financial Summary Report'!B16:B18</f>
        <v>Module Contract Trade out</v>
      </c>
      <c r="G8" s="321">
        <f t="array" ref="G8:G10">'Financial Summary Report'!H16:H18</f>
        <v>6000</v>
      </c>
      <c r="H8" s="242"/>
    </row>
    <row r="9" spans="1:8" ht="19.5" customHeight="1">
      <c r="A9" s="242"/>
      <c r="B9" s="242"/>
      <c r="C9" s="242"/>
      <c r="D9" s="242"/>
      <c r="E9" s="242"/>
      <c r="F9" s="245" t="str">
        <v>Business Loan</v>
      </c>
      <c r="G9" s="321">
        <v>42500</v>
      </c>
      <c r="H9" s="242"/>
    </row>
    <row r="10" spans="1:8" ht="19.5" customHeight="1">
      <c r="A10" s="242"/>
      <c r="B10" s="242"/>
      <c r="C10" s="242"/>
      <c r="D10" s="242"/>
      <c r="E10" s="242"/>
      <c r="F10" s="319">
        <v>0</v>
      </c>
      <c r="G10" s="322">
        <v>0</v>
      </c>
      <c r="H10" s="242"/>
    </row>
    <row r="11" spans="1:8" ht="19.5" customHeight="1">
      <c r="A11" s="242"/>
      <c r="B11" s="242"/>
      <c r="C11" s="242"/>
      <c r="D11" s="242"/>
      <c r="E11" s="242"/>
      <c r="F11" s="243" t="s">
        <v>83</v>
      </c>
      <c r="G11" s="323"/>
      <c r="H11" s="242"/>
    </row>
    <row r="12" spans="1:8" ht="19.5" customHeight="1">
      <c r="A12" s="242"/>
      <c r="B12" s="242"/>
      <c r="C12" s="247"/>
      <c r="D12" s="242"/>
      <c r="E12" s="242"/>
      <c r="F12" s="248" t="str">
        <f t="array" ref="F12:F17">'Financial Summary Report'!B22:B27</f>
        <v>Staff Salary</v>
      </c>
      <c r="G12" s="321">
        <f t="array" ref="G12:G17" ca="1">'Financial Summary Report'!H22:H27</f>
        <v>8621.875</v>
      </c>
      <c r="H12" s="247"/>
    </row>
    <row r="13" spans="1:8" ht="19.5" customHeight="1">
      <c r="A13" s="242"/>
      <c r="B13" s="242"/>
      <c r="C13" s="242"/>
      <c r="D13" s="242"/>
      <c r="E13" s="242"/>
      <c r="F13" s="248" t="str">
        <v>Office Rent</v>
      </c>
      <c r="G13" s="321">
        <v>24675.000000000004</v>
      </c>
      <c r="H13" s="242"/>
    </row>
    <row r="14" spans="1:8" ht="19.5" customHeight="1">
      <c r="A14" s="242"/>
      <c r="B14" s="242"/>
      <c r="C14" s="249"/>
      <c r="D14" s="249"/>
      <c r="E14" s="242"/>
      <c r="F14" s="248" t="str">
        <v>IT Infrastructure</v>
      </c>
      <c r="G14" s="321">
        <v>3900</v>
      </c>
      <c r="H14" s="242"/>
    </row>
    <row r="15" spans="1:8" ht="19.5" customHeight="1">
      <c r="A15" s="242"/>
      <c r="B15" s="242"/>
      <c r="C15" s="242"/>
      <c r="D15" s="242"/>
      <c r="E15" s="242"/>
      <c r="F15" s="248" t="str">
        <v>Utilities</v>
      </c>
      <c r="G15" s="321">
        <v>1950</v>
      </c>
      <c r="H15" s="242"/>
    </row>
    <row r="16" spans="1:8" ht="19.5" customHeight="1">
      <c r="A16" s="250"/>
      <c r="B16" s="242"/>
      <c r="C16" s="242"/>
      <c r="D16" s="251"/>
      <c r="E16" s="251"/>
      <c r="F16" s="248" t="str">
        <v>Module Contract Trade In</v>
      </c>
      <c r="G16" s="321">
        <v>3750</v>
      </c>
      <c r="H16" s="242"/>
    </row>
    <row r="17" spans="1:8" ht="19.5" customHeight="1">
      <c r="A17" s="242"/>
      <c r="B17" s="242"/>
      <c r="C17" s="242"/>
      <c r="D17" s="242"/>
      <c r="E17" s="242"/>
      <c r="F17" s="248" t="str">
        <v>Loan Interest</v>
      </c>
      <c r="G17" s="321">
        <v>1280.7777777777778</v>
      </c>
      <c r="H17" s="242"/>
    </row>
    <row r="18" spans="1:8" ht="19.5" customHeight="1">
      <c r="A18" s="242"/>
      <c r="B18" s="242"/>
      <c r="C18" s="242"/>
      <c r="D18" s="242"/>
      <c r="E18" s="242"/>
      <c r="F18" s="245"/>
      <c r="G18" s="246"/>
      <c r="H18" s="242"/>
    </row>
    <row r="19" spans="1:8" ht="1.5" customHeight="1">
      <c r="A19" s="242"/>
      <c r="B19" s="252"/>
      <c r="C19" s="253"/>
      <c r="D19" s="253"/>
      <c r="E19" s="253"/>
      <c r="F19" s="254"/>
      <c r="G19" s="255"/>
      <c r="H19" s="242"/>
    </row>
    <row r="20" spans="1:8" ht="1.5" customHeight="1">
      <c r="A20" s="242"/>
      <c r="B20" s="252"/>
      <c r="C20" s="253"/>
      <c r="D20" s="253"/>
      <c r="E20" s="253"/>
      <c r="F20" s="254"/>
      <c r="G20" s="255"/>
      <c r="H20" s="242"/>
    </row>
    <row r="21" spans="1:8" ht="1.5" customHeight="1">
      <c r="A21" s="242"/>
      <c r="B21" s="252"/>
      <c r="C21" s="253"/>
      <c r="D21" s="253"/>
      <c r="E21" s="253"/>
      <c r="F21" s="254"/>
      <c r="G21" s="255"/>
      <c r="H21" s="242"/>
    </row>
    <row r="22" spans="1:8" ht="1.5" customHeight="1">
      <c r="A22" s="242"/>
      <c r="B22" s="252"/>
      <c r="C22" s="253"/>
      <c r="D22" s="253"/>
      <c r="E22" s="253"/>
      <c r="F22" s="254"/>
      <c r="G22" s="255"/>
      <c r="H22" s="242"/>
    </row>
    <row r="23" spans="1:8" ht="1.5" customHeight="1">
      <c r="A23" s="242"/>
      <c r="B23" s="252"/>
      <c r="C23" s="253"/>
      <c r="D23" s="253"/>
      <c r="E23" s="253"/>
      <c r="F23" s="254"/>
      <c r="G23" s="255"/>
      <c r="H23" s="242"/>
    </row>
    <row r="24" spans="1:8" ht="1.5" customHeight="1">
      <c r="A24" s="242"/>
      <c r="B24" s="252"/>
      <c r="C24" s="253"/>
      <c r="D24" s="253"/>
      <c r="E24" s="253"/>
      <c r="F24" s="254"/>
      <c r="G24" s="255"/>
      <c r="H24" s="242"/>
    </row>
    <row r="25" spans="1:8" ht="1.5" customHeight="1">
      <c r="A25" s="242"/>
      <c r="B25" s="252"/>
      <c r="C25" s="253"/>
      <c r="D25" s="253"/>
      <c r="E25" s="253"/>
      <c r="F25" s="254"/>
      <c r="G25" s="255"/>
      <c r="H25" s="242"/>
    </row>
    <row r="26" spans="1:8" ht="30" customHeight="1">
      <c r="A26" s="235"/>
      <c r="B26" s="256" t="s">
        <v>84</v>
      </c>
      <c r="C26" s="237"/>
      <c r="D26" s="237"/>
      <c r="E26" s="237"/>
      <c r="F26" s="237"/>
      <c r="G26" s="238"/>
      <c r="H26" s="231"/>
    </row>
    <row r="27" spans="1:8" ht="4.5" customHeight="1">
      <c r="A27" s="242"/>
      <c r="B27" s="257"/>
      <c r="C27" s="257"/>
      <c r="D27" s="257"/>
      <c r="E27" s="257"/>
      <c r="F27" s="258"/>
      <c r="G27" s="258"/>
      <c r="H27" s="242"/>
    </row>
    <row r="28" spans="1:8" ht="19.5" customHeight="1">
      <c r="A28" s="242"/>
      <c r="B28" s="259"/>
      <c r="C28" s="260"/>
      <c r="D28" s="257"/>
      <c r="E28" s="257"/>
      <c r="F28" s="258"/>
      <c r="G28" s="258"/>
      <c r="H28" s="242"/>
    </row>
    <row r="29" spans="1:8" ht="19.5" customHeight="1">
      <c r="A29" s="242"/>
      <c r="B29" s="244"/>
      <c r="C29" s="244"/>
      <c r="E29" s="242"/>
      <c r="F29" s="261"/>
      <c r="G29" s="324" t="s">
        <v>28</v>
      </c>
      <c r="H29" s="242"/>
    </row>
    <row r="30" spans="1:8" ht="19.5" customHeight="1">
      <c r="A30" s="242"/>
      <c r="B30" s="244"/>
      <c r="C30" s="244"/>
      <c r="D30" s="242"/>
      <c r="E30" s="242"/>
      <c r="F30" s="261" t="s">
        <v>85</v>
      </c>
      <c r="G30" s="320">
        <f ca="1">'Financial Summary Report'!E19-'Financial Summary Report'!E28</f>
        <v>-8751.923076923078</v>
      </c>
      <c r="H30" s="242"/>
    </row>
    <row r="31" spans="1:8" ht="19.5" customHeight="1">
      <c r="A31" s="242"/>
      <c r="B31" s="244"/>
      <c r="C31" s="244"/>
      <c r="D31" s="249"/>
      <c r="E31" s="242"/>
      <c r="F31" s="261" t="s">
        <v>86</v>
      </c>
      <c r="G31" s="320">
        <f ca="1">'Financial Summary Report'!F19-'Financial Summary Report'!F28+G30</f>
        <v>-24457.932692307695</v>
      </c>
      <c r="H31" s="242"/>
    </row>
    <row r="32" spans="1:8" ht="19.5" customHeight="1">
      <c r="A32" s="242"/>
      <c r="B32" s="244"/>
      <c r="C32" s="244"/>
      <c r="D32" s="249"/>
      <c r="E32" s="242"/>
      <c r="F32" s="261" t="s">
        <v>87</v>
      </c>
      <c r="G32" s="320">
        <f ca="1">'Financial Summary Report'!G19-'Financial Summary Report'!G28+G31</f>
        <v>4322.347222222219</v>
      </c>
      <c r="H32" s="242"/>
    </row>
    <row r="33" spans="1:8" ht="19.5" customHeight="1">
      <c r="A33" s="242"/>
      <c r="B33" s="244"/>
      <c r="C33" s="244"/>
      <c r="D33" s="249"/>
      <c r="E33" s="242"/>
      <c r="F33" s="262"/>
      <c r="G33" s="247"/>
      <c r="H33" s="242"/>
    </row>
    <row r="34" spans="1:8" ht="19.5" customHeight="1">
      <c r="A34" s="242"/>
      <c r="B34" s="242"/>
      <c r="C34" s="242"/>
      <c r="D34" s="242"/>
      <c r="E34" s="242"/>
      <c r="F34" s="262"/>
      <c r="G34" s="263"/>
      <c r="H34" s="242"/>
    </row>
    <row r="35" spans="1:8" ht="19.5" customHeight="1">
      <c r="A35" s="242"/>
      <c r="B35" s="242"/>
      <c r="C35" s="242"/>
      <c r="D35" s="242"/>
      <c r="E35" s="242"/>
      <c r="F35" s="246"/>
      <c r="G35" s="246"/>
      <c r="H35" s="242"/>
    </row>
    <row r="36" spans="1:8" ht="19.5" customHeight="1">
      <c r="A36" s="242"/>
      <c r="B36" s="242"/>
      <c r="C36" s="242"/>
      <c r="D36" s="242"/>
      <c r="E36" s="242"/>
      <c r="F36" s="246"/>
      <c r="G36" s="246"/>
      <c r="H36" s="242"/>
    </row>
    <row r="37" spans="1:8" ht="19.5" customHeight="1">
      <c r="A37" s="242"/>
      <c r="B37" s="242"/>
      <c r="C37" s="242"/>
      <c r="D37" s="242"/>
      <c r="E37" s="242"/>
      <c r="F37" s="246"/>
      <c r="G37" s="246"/>
      <c r="H37" s="242"/>
    </row>
    <row r="38" spans="1:8" ht="19.5" customHeight="1">
      <c r="A38" s="242"/>
      <c r="B38" s="242"/>
      <c r="C38" s="242"/>
      <c r="D38" s="242"/>
      <c r="E38" s="242"/>
      <c r="F38" s="246"/>
      <c r="G38" s="246"/>
      <c r="H38" s="242"/>
    </row>
    <row r="39" spans="1:8" ht="19.5" customHeight="1">
      <c r="A39" s="242"/>
      <c r="B39" s="242"/>
      <c r="C39" s="242"/>
      <c r="D39" s="242"/>
      <c r="E39" s="242"/>
      <c r="F39" s="246"/>
      <c r="G39" s="246"/>
      <c r="H39" s="242"/>
    </row>
  </sheetData>
  <mergeCells count="2">
    <mergeCell ref="B3:C3"/>
    <mergeCell ref="D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Summary Report</vt:lpstr>
      <vt:lpstr>Financial Report - Final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Yokiri</dc:creator>
  <cp:lastModifiedBy>Yokiri</cp:lastModifiedBy>
  <dcterms:created xsi:type="dcterms:W3CDTF">2022-06-08T14:32:24Z</dcterms:created>
  <dcterms:modified xsi:type="dcterms:W3CDTF">2022-06-08T14:32:24Z</dcterms:modified>
</cp:coreProperties>
</file>