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4115" windowHeight="8625" activeTab="2"/>
  </bookViews>
  <sheets>
    <sheet name="Notes" sheetId="9" r:id="rId1"/>
    <sheet name="Fin-Model" sheetId="8" r:id="rId2"/>
    <sheet name="Fin-Model (PS)" sheetId="13" r:id="rId3"/>
    <sheet name="Transaction Economics" sheetId="7" r:id="rId4"/>
    <sheet name="Income Statement" sheetId="10" r:id="rId5"/>
    <sheet name="Balance Sheet" sheetId="11" r:id="rId6"/>
    <sheet name="Cash Flow" sheetId="12" r:id="rId7"/>
    <sheet name="PROF WHITE - TEABAR FIN MODEL" sheetId="1" r:id="rId8"/>
    <sheet name="S-Buck &amp; Caribou Margins" sheetId="4" r:id="rId9"/>
  </sheets>
  <definedNames>
    <definedName name="solver_adj" localSheetId="2">#REF!</definedName>
    <definedName name="solver_adj">#REF!</definedName>
    <definedName name="solver_opt" localSheetId="2">#REF!</definedName>
    <definedName name="solver_opt">#REF!</definedName>
  </definedNames>
  <calcPr calcId="125725"/>
</workbook>
</file>

<file path=xl/calcChain.xml><?xml version="1.0" encoding="utf-8"?>
<calcChain xmlns="http://schemas.openxmlformats.org/spreadsheetml/2006/main">
  <c r="B29" i="13"/>
  <c r="D29"/>
  <c r="C29"/>
  <c r="F29"/>
  <c r="G29"/>
  <c r="E29"/>
  <c r="C69"/>
  <c r="C68"/>
  <c r="C76" s="1"/>
  <c r="C83" s="1"/>
  <c r="E61"/>
  <c r="F61" s="1"/>
  <c r="G61" s="1"/>
  <c r="D61"/>
  <c r="C60"/>
  <c r="C58"/>
  <c r="D40"/>
  <c r="F39"/>
  <c r="G39" s="1"/>
  <c r="E38"/>
  <c r="E68" s="1"/>
  <c r="D38"/>
  <c r="D69" s="1"/>
  <c r="C37"/>
  <c r="D36"/>
  <c r="D37" s="1"/>
  <c r="G15"/>
  <c r="F15"/>
  <c r="E15"/>
  <c r="E59" s="1"/>
  <c r="D15"/>
  <c r="D59" s="1"/>
  <c r="C15"/>
  <c r="C59" s="1"/>
  <c r="K10"/>
  <c r="B2"/>
  <c r="D60" i="8"/>
  <c r="D39"/>
  <c r="C68"/>
  <c r="D37"/>
  <c r="D68" s="1"/>
  <c r="E60"/>
  <c r="F60" s="1"/>
  <c r="G60" s="1"/>
  <c r="C57"/>
  <c r="K10"/>
  <c r="B2"/>
  <c r="E38"/>
  <c r="F38" s="1"/>
  <c r="G38" s="1"/>
  <c r="C67"/>
  <c r="C83" s="1"/>
  <c r="F27" i="7"/>
  <c r="D25"/>
  <c r="D27"/>
  <c r="D15" i="8"/>
  <c r="E15"/>
  <c r="F15"/>
  <c r="G15"/>
  <c r="C15"/>
  <c r="C58" s="1"/>
  <c r="C59"/>
  <c r="E39"/>
  <c r="F39" s="1"/>
  <c r="G39" s="1"/>
  <c r="C36"/>
  <c r="C40" s="1"/>
  <c r="C41" s="1"/>
  <c r="D35"/>
  <c r="E35" s="1"/>
  <c r="B13" i="7"/>
  <c r="B11"/>
  <c r="B14"/>
  <c r="B21"/>
  <c r="B25"/>
  <c r="B10"/>
  <c r="D4"/>
  <c r="D4" i="1"/>
  <c r="E4"/>
  <c r="C5"/>
  <c r="D5"/>
  <c r="D6"/>
  <c r="E6"/>
  <c r="F6"/>
  <c r="G6"/>
  <c r="E7"/>
  <c r="E14"/>
  <c r="C10"/>
  <c r="D10"/>
  <c r="D11"/>
  <c r="C11"/>
  <c r="C14"/>
  <c r="D14"/>
  <c r="F14"/>
  <c r="G14"/>
  <c r="D15"/>
  <c r="E15"/>
  <c r="F15"/>
  <c r="G15"/>
  <c r="E16"/>
  <c r="F16"/>
  <c r="G16"/>
  <c r="C19"/>
  <c r="D19"/>
  <c r="F19"/>
  <c r="G19"/>
  <c r="C24"/>
  <c r="C25"/>
  <c r="B7" i="4"/>
  <c r="C7"/>
  <c r="D7"/>
  <c r="B9"/>
  <c r="C9"/>
  <c r="D9"/>
  <c r="B11"/>
  <c r="C11"/>
  <c r="D11"/>
  <c r="B17"/>
  <c r="C17"/>
  <c r="B19"/>
  <c r="C19"/>
  <c r="B21"/>
  <c r="C21"/>
  <c r="F4" i="1"/>
  <c r="E5"/>
  <c r="E10"/>
  <c r="D24"/>
  <c r="D25"/>
  <c r="E19"/>
  <c r="G4"/>
  <c r="G5"/>
  <c r="G10"/>
  <c r="F5"/>
  <c r="F10"/>
  <c r="E11"/>
  <c r="E24"/>
  <c r="E25"/>
  <c r="G11"/>
  <c r="G24"/>
  <c r="G25"/>
  <c r="F11"/>
  <c r="F24"/>
  <c r="F25"/>
  <c r="C84" i="13" l="1"/>
  <c r="E76"/>
  <c r="E83" s="1"/>
  <c r="E84"/>
  <c r="D41"/>
  <c r="D42" s="1"/>
  <c r="C62"/>
  <c r="C41"/>
  <c r="C42" s="1"/>
  <c r="E58"/>
  <c r="E60"/>
  <c r="D68"/>
  <c r="E69"/>
  <c r="E72" s="1"/>
  <c r="E36"/>
  <c r="F38"/>
  <c r="E40"/>
  <c r="D58"/>
  <c r="D60"/>
  <c r="C72"/>
  <c r="C71" i="8"/>
  <c r="E37"/>
  <c r="E67" s="1"/>
  <c r="E75" s="1"/>
  <c r="E82" s="1"/>
  <c r="D67"/>
  <c r="D71" s="1"/>
  <c r="E68"/>
  <c r="E71" s="1"/>
  <c r="D57"/>
  <c r="C75"/>
  <c r="C82" s="1"/>
  <c r="C46"/>
  <c r="C61"/>
  <c r="E59"/>
  <c r="D58"/>
  <c r="E83"/>
  <c r="D75"/>
  <c r="D82" s="1"/>
  <c r="F37"/>
  <c r="D59"/>
  <c r="E36"/>
  <c r="F35"/>
  <c r="D36"/>
  <c r="C48"/>
  <c r="C47"/>
  <c r="D62" i="13" l="1"/>
  <c r="D64" s="1"/>
  <c r="C48"/>
  <c r="C49"/>
  <c r="C47"/>
  <c r="F69"/>
  <c r="F60"/>
  <c r="F58"/>
  <c r="F68"/>
  <c r="G38"/>
  <c r="D49"/>
  <c r="D47"/>
  <c r="D48"/>
  <c r="K9"/>
  <c r="K11" s="1"/>
  <c r="C64"/>
  <c r="F40"/>
  <c r="E37"/>
  <c r="E41" s="1"/>
  <c r="E42" s="1"/>
  <c r="F36"/>
  <c r="D84"/>
  <c r="D76"/>
  <c r="D83" s="1"/>
  <c r="D72"/>
  <c r="F59"/>
  <c r="E62"/>
  <c r="E58" i="8"/>
  <c r="E57"/>
  <c r="D83"/>
  <c r="F57"/>
  <c r="F68"/>
  <c r="K9"/>
  <c r="K11" s="1"/>
  <c r="C63"/>
  <c r="C49"/>
  <c r="F67"/>
  <c r="F71" s="1"/>
  <c r="F58"/>
  <c r="G37"/>
  <c r="F59"/>
  <c r="D40"/>
  <c r="D41" s="1"/>
  <c r="E40"/>
  <c r="E41" s="1"/>
  <c r="G35"/>
  <c r="G36" s="1"/>
  <c r="F36"/>
  <c r="E48" i="13" l="1"/>
  <c r="E49"/>
  <c r="E47"/>
  <c r="F37"/>
  <c r="G36"/>
  <c r="G37" s="1"/>
  <c r="F41"/>
  <c r="G40"/>
  <c r="F42"/>
  <c r="G68"/>
  <c r="G69"/>
  <c r="G60"/>
  <c r="G58"/>
  <c r="G62" s="1"/>
  <c r="G59"/>
  <c r="F84"/>
  <c r="F76"/>
  <c r="F83" s="1"/>
  <c r="F72"/>
  <c r="F62"/>
  <c r="E64"/>
  <c r="D50"/>
  <c r="D52" s="1"/>
  <c r="C50"/>
  <c r="C52" s="1"/>
  <c r="C51" i="8"/>
  <c r="C53"/>
  <c r="G57"/>
  <c r="G68"/>
  <c r="C73"/>
  <c r="G59"/>
  <c r="G67"/>
  <c r="G58"/>
  <c r="F75"/>
  <c r="F82" s="1"/>
  <c r="F83"/>
  <c r="D46"/>
  <c r="D47"/>
  <c r="D48"/>
  <c r="G40"/>
  <c r="G41" s="1"/>
  <c r="E47"/>
  <c r="E61"/>
  <c r="E63" s="1"/>
  <c r="E48"/>
  <c r="E46"/>
  <c r="F40"/>
  <c r="F41" s="1"/>
  <c r="C54" i="13" l="1"/>
  <c r="C74"/>
  <c r="C78" s="1"/>
  <c r="F49"/>
  <c r="F47"/>
  <c r="F48"/>
  <c r="D74"/>
  <c r="D78" s="1"/>
  <c r="D54"/>
  <c r="G76"/>
  <c r="G83" s="1"/>
  <c r="G72"/>
  <c r="G84"/>
  <c r="G41"/>
  <c r="G42" s="1"/>
  <c r="F64"/>
  <c r="E50"/>
  <c r="E52" s="1"/>
  <c r="G71" i="8"/>
  <c r="C77"/>
  <c r="C79" s="1"/>
  <c r="C81" s="1"/>
  <c r="C84" s="1"/>
  <c r="C88" s="1"/>
  <c r="E49"/>
  <c r="G83"/>
  <c r="G75"/>
  <c r="G82" s="1"/>
  <c r="D61"/>
  <c r="D63" s="1"/>
  <c r="F48"/>
  <c r="F46"/>
  <c r="F47"/>
  <c r="F61"/>
  <c r="F63" s="1"/>
  <c r="G46"/>
  <c r="G48"/>
  <c r="G47"/>
  <c r="D49"/>
  <c r="G48" i="13" l="1"/>
  <c r="G49"/>
  <c r="G47"/>
  <c r="G64"/>
  <c r="D80"/>
  <c r="D82" s="1"/>
  <c r="C80"/>
  <c r="C82" s="1"/>
  <c r="E54"/>
  <c r="E74"/>
  <c r="E78" s="1"/>
  <c r="F50"/>
  <c r="F52" s="1"/>
  <c r="C29" i="8"/>
  <c r="E51"/>
  <c r="E53"/>
  <c r="D51"/>
  <c r="D73" s="1"/>
  <c r="D53"/>
  <c r="E73"/>
  <c r="G61"/>
  <c r="G63" s="1"/>
  <c r="G49"/>
  <c r="F49"/>
  <c r="D85" i="13" l="1"/>
  <c r="D89" s="1"/>
  <c r="D30"/>
  <c r="E80"/>
  <c r="E82" s="1"/>
  <c r="C85"/>
  <c r="C30"/>
  <c r="F74"/>
  <c r="F78" s="1"/>
  <c r="F54"/>
  <c r="G50"/>
  <c r="G52" s="1"/>
  <c r="D77" i="8"/>
  <c r="D79" s="1"/>
  <c r="D81" s="1"/>
  <c r="E77"/>
  <c r="E79" s="1"/>
  <c r="E81" s="1"/>
  <c r="G51"/>
  <c r="G53"/>
  <c r="F51"/>
  <c r="F73" s="1"/>
  <c r="F53"/>
  <c r="G73"/>
  <c r="G77" s="1"/>
  <c r="E85" i="13" l="1"/>
  <c r="E30"/>
  <c r="G54"/>
  <c r="G74"/>
  <c r="G78" s="1"/>
  <c r="F80"/>
  <c r="F82" s="1"/>
  <c r="C89"/>
  <c r="B28"/>
  <c r="E29" i="8"/>
  <c r="E84"/>
  <c r="G79"/>
  <c r="G81" s="1"/>
  <c r="G84" s="1"/>
  <c r="F77"/>
  <c r="F79" s="1"/>
  <c r="F81" s="1"/>
  <c r="D29"/>
  <c r="D84"/>
  <c r="E89" i="13" l="1"/>
  <c r="F85"/>
  <c r="F30"/>
  <c r="G80"/>
  <c r="G82" s="1"/>
  <c r="G29" i="8"/>
  <c r="E88"/>
  <c r="G88"/>
  <c r="H84"/>
  <c r="H88" s="1"/>
  <c r="D88"/>
  <c r="B28"/>
  <c r="F29"/>
  <c r="F84"/>
  <c r="F88" s="1"/>
  <c r="G85" i="13" l="1"/>
  <c r="G30"/>
  <c r="F89"/>
  <c r="B26" i="8"/>
  <c r="B27"/>
  <c r="G89" i="13" l="1"/>
  <c r="H85"/>
  <c r="B26" s="1"/>
  <c r="H89" l="1"/>
  <c r="B27" s="1"/>
</calcChain>
</file>

<file path=xl/sharedStrings.xml><?xml version="1.0" encoding="utf-8"?>
<sst xmlns="http://schemas.openxmlformats.org/spreadsheetml/2006/main" count="254" uniqueCount="142">
  <si>
    <t>IT Maintenance</t>
  </si>
  <si>
    <t>* $200K per store opening</t>
  </si>
  <si>
    <t>*Used gut of how many people would come to our TeaBar in one day, then assumed 10% growth rate in customers per day</t>
  </si>
  <si>
    <t>Tea</t>
  </si>
  <si>
    <t>What would have to be true for TEABAR to get 1% market share of the $15 Billion ($150M) dollar tea industry in 5 years?</t>
  </si>
  <si>
    <t>Revenue ($)</t>
  </si>
  <si>
    <t>Net Income</t>
  </si>
  <si>
    <t>Calculated based on row 4</t>
  </si>
  <si>
    <t>Price per Sale</t>
  </si>
  <si>
    <t>Operations:</t>
  </si>
  <si>
    <t>IT Configuration</t>
  </si>
  <si>
    <t>Corporate Marketing</t>
  </si>
  <si>
    <t>New Store Configuration</t>
  </si>
  <si>
    <t>Number of Stores</t>
  </si>
  <si>
    <t>Total Revenues</t>
  </si>
  <si>
    <t>Overhead Expenses:</t>
  </si>
  <si>
    <t>Gross Margin</t>
  </si>
  <si>
    <t>Tax</t>
  </si>
  <si>
    <t>Labor</t>
  </si>
  <si>
    <t>* Based on Argo Prices</t>
  </si>
  <si>
    <t>*S-bucks 55% Gross Margin</t>
  </si>
  <si>
    <t>Customers per day</t>
  </si>
  <si>
    <t>Branding Collateral</t>
  </si>
  <si>
    <t>Rent</t>
  </si>
  <si>
    <t>Caribou Coffee (in thousands)</t>
  </si>
  <si>
    <t>COGS</t>
  </si>
  <si>
    <t>Operating Expenses ($)</t>
  </si>
  <si>
    <t>Legal Fees</t>
  </si>
  <si>
    <t>GSA</t>
  </si>
  <si>
    <t>Used solver for cell G3, then backfilled each cell with gut growth targets</t>
  </si>
  <si>
    <t>* Projected</t>
  </si>
  <si>
    <t>* Projected company expenses</t>
  </si>
  <si>
    <t>Net Profit Margin</t>
  </si>
  <si>
    <t>Assumptions:</t>
  </si>
  <si>
    <t>Customers per Store per Week</t>
  </si>
  <si>
    <t>Notes</t>
  </si>
  <si>
    <t>Operating Profit Margin</t>
  </si>
  <si>
    <t>Starbucks (in millions)</t>
  </si>
  <si>
    <t>Net Profit ($)</t>
  </si>
  <si>
    <t>* $10K per store</t>
  </si>
  <si>
    <t>Margin Calculations</t>
  </si>
  <si>
    <t>Milk</t>
  </si>
  <si>
    <t>Year 3</t>
  </si>
  <si>
    <t>Year 4</t>
  </si>
  <si>
    <t>*What would it take to get to 1% market share of the $15 Billion ($150M) dollar tea industry in 5 years?</t>
  </si>
  <si>
    <t>Year 5</t>
  </si>
  <si>
    <t>Inflation</t>
  </si>
  <si>
    <t>Start Up Costs:</t>
  </si>
  <si>
    <t>Operating Income</t>
  </si>
  <si>
    <t>Year 2</t>
  </si>
  <si>
    <t>Year 1</t>
  </si>
  <si>
    <t>6 oz</t>
  </si>
  <si>
    <t>75 cups</t>
  </si>
  <si>
    <t>http://www.theteatable.com/category/tea101_tea_faqs.html</t>
  </si>
  <si>
    <t>Cost to brew 1 cup of tea</t>
  </si>
  <si>
    <t>Water</t>
  </si>
  <si>
    <t>Cup</t>
  </si>
  <si>
    <t>Sugar</t>
  </si>
  <si>
    <t>Lid</t>
  </si>
  <si>
    <t>Depreciation</t>
  </si>
  <si>
    <t>Misc</t>
  </si>
  <si>
    <t>Sub-Total</t>
  </si>
  <si>
    <t>Cost / Cup</t>
  </si>
  <si>
    <t>Price / Cup</t>
  </si>
  <si>
    <t>Profit/Cup</t>
  </si>
  <si>
    <t>Component</t>
  </si>
  <si>
    <t>Cost</t>
  </si>
  <si>
    <t>Utilities</t>
  </si>
  <si>
    <t>Revenues</t>
  </si>
  <si>
    <t>Customers/Store</t>
  </si>
  <si>
    <t>Customers/Store/Week</t>
  </si>
  <si>
    <t>Average Transaction</t>
  </si>
  <si>
    <t>Variable Cost</t>
  </si>
  <si>
    <t>Food Services and Others</t>
  </si>
  <si>
    <t xml:space="preserve">    Tea</t>
  </si>
  <si>
    <t xml:space="preserve">    Food Services and Others</t>
  </si>
  <si>
    <t>SG&amp;A</t>
  </si>
  <si>
    <t>Alcohol Licensing Fees</t>
  </si>
  <si>
    <t>Legal</t>
  </si>
  <si>
    <t>Year 0</t>
  </si>
  <si>
    <t>Terminal Value</t>
  </si>
  <si>
    <t>Assumptions</t>
  </si>
  <si>
    <t>Store Growth</t>
  </si>
  <si>
    <t>Net Margins</t>
  </si>
  <si>
    <t>Average Rent (SBUX)</t>
  </si>
  <si>
    <t>SG&amp;A (SBUX)</t>
  </si>
  <si>
    <t>Total Fixed Costs</t>
  </si>
  <si>
    <t xml:space="preserve">    Non-Tea Beverages</t>
  </si>
  <si>
    <t>Non Tea Beverages</t>
  </si>
  <si>
    <t>Total Variable Costs</t>
  </si>
  <si>
    <t>Gross Profit Margin</t>
  </si>
  <si>
    <t>Utilities/Store</t>
  </si>
  <si>
    <t>Terminal</t>
  </si>
  <si>
    <t>One Time Expense</t>
  </si>
  <si>
    <t># Franchises</t>
  </si>
  <si>
    <t>Store Growth (Franchise)</t>
  </si>
  <si>
    <t>EBIDTA</t>
  </si>
  <si>
    <t>Depreciation (@7% of Cap Ex)</t>
  </si>
  <si>
    <t>New Store Configuration (Cap Ex)</t>
  </si>
  <si>
    <t xml:space="preserve">Tax </t>
  </si>
  <si>
    <t xml:space="preserve">Cap Ex </t>
  </si>
  <si>
    <t>Cash Flow</t>
  </si>
  <si>
    <t>Customer Growth</t>
  </si>
  <si>
    <t>IRR</t>
  </si>
  <si>
    <t>Input here</t>
  </si>
  <si>
    <t>Output</t>
  </si>
  <si>
    <t>Tea-Financial Model v1.0</t>
  </si>
  <si>
    <t xml:space="preserve">Version </t>
  </si>
  <si>
    <t>Date</t>
  </si>
  <si>
    <t>Comments</t>
  </si>
  <si>
    <t>Initial Draft</t>
  </si>
  <si>
    <t>Added Franchising Royalty and made adjustments to % to lower IRR</t>
  </si>
  <si>
    <t>Fixed Costs (Operational)</t>
  </si>
  <si>
    <t>Franchising Royalty</t>
  </si>
  <si>
    <t>Royalty</t>
  </si>
  <si>
    <t>Cap-Ex is only for stores that are company owned. It is expected that the frachisee provide the capital for new store configuration and hence is not on our books</t>
  </si>
  <si>
    <t>Of Revenue</t>
  </si>
  <si>
    <t>Yearly</t>
  </si>
  <si>
    <t>Per Store</t>
  </si>
  <si>
    <t>Period</t>
  </si>
  <si>
    <t>PV</t>
  </si>
  <si>
    <t>Break Even Analysis</t>
  </si>
  <si>
    <t>Fixed Cost</t>
  </si>
  <si>
    <t>Gross Profit Margin (Unit)</t>
  </si>
  <si>
    <t>We need to figure out how much do we need for the first year and the relevant years</t>
  </si>
  <si>
    <t>Labor/Store</t>
  </si>
  <si>
    <t>Incremenent</t>
  </si>
  <si>
    <t>Rate of Return</t>
  </si>
  <si>
    <t>NPV</t>
  </si>
  <si>
    <t>Fixed Cost %</t>
  </si>
  <si>
    <t>Gross Margins %</t>
  </si>
  <si>
    <t># Stores (Cumulative)</t>
  </si>
  <si>
    <t>One Time Expenses + CapEx</t>
  </si>
  <si>
    <t>Interest</t>
  </si>
  <si>
    <t>Cap-Ex will occur in the year it is spent for simplicity</t>
  </si>
  <si>
    <t>EBIT (Pre-Tax Net Income)</t>
  </si>
  <si>
    <t>Our financial model will not have A/C, A/P yearly as we have a transaction model where receivables (credit) is within 30 days and accounts payable period is short</t>
  </si>
  <si>
    <t>Total Investment Amount</t>
  </si>
  <si>
    <t>Franchising Fees</t>
  </si>
  <si>
    <t>Times EBITDA</t>
  </si>
  <si>
    <t>BA (Transactions /Store/Hour)</t>
  </si>
  <si>
    <t>ROIC</t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</si>
</sst>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#,##0;\(#,##0\)"/>
    <numFmt numFmtId="165" formatCode="&quot;$&quot;#,##0.00;&quot;$&quot;\(#,##0.00\)"/>
    <numFmt numFmtId="166" formatCode="&quot;$&quot;#,##0;&quot;$&quot;\(#,##0\)"/>
    <numFmt numFmtId="167" formatCode="_(&quot;$&quot;* #,##0_);_(&quot;$&quot;* \(#,##0\);_(&quot;$&quot;* &quot;-&quot;??_);_(@_)"/>
    <numFmt numFmtId="168" formatCode="[$-409]d\-mmm\-yy;@"/>
    <numFmt numFmtId="169" formatCode="&quot;$&quot;#,##0.00"/>
    <numFmt numFmtId="170" formatCode="&quot;$&quot;#,##0"/>
  </numFmts>
  <fonts count="10">
    <font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3" borderId="11" applyNumberFormat="0" applyFont="0" applyAlignment="0" applyProtection="0"/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/>
    <xf numFmtId="0" fontId="3" fillId="0" borderId="0" xfId="0" applyNumberFormat="1" applyFont="1" applyFill="1" applyAlignment="1"/>
    <xf numFmtId="1" fontId="3" fillId="0" borderId="0" xfId="0" applyNumberFormat="1" applyFont="1" applyFill="1" applyAlignment="1"/>
    <xf numFmtId="164" fontId="3" fillId="0" borderId="0" xfId="0" applyNumberFormat="1" applyFont="1" applyFill="1" applyAlignment="1"/>
    <xf numFmtId="165" fontId="3" fillId="0" borderId="0" xfId="0" applyNumberFormat="1" applyFont="1" applyFill="1" applyAlignment="1"/>
    <xf numFmtId="166" fontId="3" fillId="0" borderId="0" xfId="0" applyNumberFormat="1" applyFont="1" applyFill="1" applyAlignment="1"/>
    <xf numFmtId="166" fontId="3" fillId="2" borderId="0" xfId="0" applyNumberFormat="1" applyFont="1" applyFill="1" applyAlignment="1"/>
    <xf numFmtId="0" fontId="4" fillId="0" borderId="0" xfId="0" applyNumberFormat="1" applyFont="1" applyFill="1" applyAlignment="1">
      <alignment wrapText="1"/>
    </xf>
    <xf numFmtId="9" fontId="4" fillId="0" borderId="0" xfId="0" applyNumberFormat="1" applyFont="1" applyFill="1" applyAlignment="1">
      <alignment vertical="center"/>
    </xf>
    <xf numFmtId="4" fontId="3" fillId="0" borderId="0" xfId="0" applyNumberFormat="1" applyFont="1" applyFill="1" applyAlignment="1"/>
    <xf numFmtId="9" fontId="2" fillId="0" borderId="0" xfId="0" applyNumberFormat="1" applyFont="1" applyFill="1" applyAlignment="1"/>
    <xf numFmtId="44" fontId="0" fillId="0" borderId="0" xfId="1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9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44" fontId="0" fillId="0" borderId="2" xfId="1" applyFont="1" applyBorder="1">
      <alignment vertical="center"/>
    </xf>
    <xf numFmtId="44" fontId="0" fillId="0" borderId="7" xfId="1" applyFont="1" applyBorder="1">
      <alignment vertical="center"/>
    </xf>
    <xf numFmtId="44" fontId="0" fillId="0" borderId="8" xfId="1" applyFont="1" applyBorder="1">
      <alignment vertical="center"/>
    </xf>
    <xf numFmtId="9" fontId="0" fillId="0" borderId="0" xfId="0" applyNumberFormat="1">
      <alignment vertical="center"/>
    </xf>
    <xf numFmtId="167" fontId="0" fillId="0" borderId="0" xfId="1" applyNumberFormat="1" applyFont="1">
      <alignment vertical="center"/>
    </xf>
    <xf numFmtId="1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0" fillId="0" borderId="9" xfId="0" applyBorder="1">
      <alignment vertical="center"/>
    </xf>
    <xf numFmtId="167" fontId="0" fillId="0" borderId="9" xfId="0" applyNumberFormat="1" applyBorder="1">
      <alignment vertical="center"/>
    </xf>
    <xf numFmtId="0" fontId="0" fillId="0" borderId="0" xfId="0" applyBorder="1">
      <alignment vertical="center"/>
    </xf>
    <xf numFmtId="167" fontId="0" fillId="0" borderId="0" xfId="0" applyNumberForma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9" xfId="0" applyFont="1" applyBorder="1">
      <alignment vertical="center"/>
    </xf>
    <xf numFmtId="44" fontId="0" fillId="0" borderId="0" xfId="0" applyNumberFormat="1">
      <alignment vertical="center"/>
    </xf>
    <xf numFmtId="0" fontId="0" fillId="0" borderId="10" xfId="0" applyBorder="1">
      <alignment vertical="center"/>
    </xf>
    <xf numFmtId="9" fontId="8" fillId="3" borderId="11" xfId="2" applyNumberFormat="1" applyFont="1" applyAlignment="1">
      <alignment vertical="center"/>
    </xf>
    <xf numFmtId="0" fontId="8" fillId="3" borderId="11" xfId="2" applyFont="1" applyAlignment="1">
      <alignment vertical="center"/>
    </xf>
    <xf numFmtId="0" fontId="5" fillId="3" borderId="11" xfId="2" applyFont="1" applyAlignment="1">
      <alignment vertical="center"/>
    </xf>
    <xf numFmtId="0" fontId="0" fillId="5" borderId="3" xfId="0" applyFill="1" applyBorder="1">
      <alignment vertical="center"/>
    </xf>
    <xf numFmtId="9" fontId="0" fillId="5" borderId="9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5" borderId="4" xfId="0" applyFill="1" applyBorder="1">
      <alignment vertical="center"/>
    </xf>
    <xf numFmtId="9" fontId="5" fillId="5" borderId="10" xfId="3" applyFont="1" applyFill="1" applyBorder="1">
      <alignment vertical="center"/>
    </xf>
    <xf numFmtId="168" fontId="7" fillId="0" borderId="0" xfId="0" applyNumberFormat="1" applyFont="1">
      <alignment vertical="center"/>
    </xf>
    <xf numFmtId="16" fontId="0" fillId="0" borderId="0" xfId="0" applyNumberFormat="1">
      <alignment vertical="center"/>
    </xf>
    <xf numFmtId="2" fontId="0" fillId="0" borderId="9" xfId="0" applyNumberFormat="1" applyBorder="1">
      <alignment vertical="center"/>
    </xf>
    <xf numFmtId="167" fontId="0" fillId="0" borderId="9" xfId="1" applyNumberFormat="1" applyFont="1" applyBorder="1">
      <alignment vertical="center"/>
    </xf>
    <xf numFmtId="9" fontId="5" fillId="3" borderId="11" xfId="2" applyNumberFormat="1" applyFont="1" applyAlignment="1">
      <alignment vertical="center"/>
    </xf>
    <xf numFmtId="167" fontId="8" fillId="3" borderId="11" xfId="1" applyNumberFormat="1" applyFont="1" applyFill="1" applyBorder="1" applyAlignme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67" fontId="0" fillId="0" borderId="13" xfId="0" applyNumberFormat="1" applyBorder="1">
      <alignment vertical="center"/>
    </xf>
    <xf numFmtId="16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1" fontId="0" fillId="5" borderId="15" xfId="0" applyNumberFormat="1" applyFill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Border="1">
      <alignment vertical="center"/>
    </xf>
    <xf numFmtId="170" fontId="8" fillId="3" borderId="11" xfId="2" applyNumberFormat="1" applyFont="1" applyAlignment="1">
      <alignment vertical="center"/>
    </xf>
    <xf numFmtId="9" fontId="8" fillId="3" borderId="11" xfId="3" applyFont="1" applyFill="1" applyBorder="1" applyAlignment="1">
      <alignment vertical="center"/>
    </xf>
    <xf numFmtId="9" fontId="0" fillId="0" borderId="0" xfId="3" applyFont="1">
      <alignment vertical="center"/>
    </xf>
    <xf numFmtId="0" fontId="0" fillId="0" borderId="0" xfId="0" applyFill="1" applyBorder="1">
      <alignment vertical="center"/>
    </xf>
    <xf numFmtId="3" fontId="9" fillId="0" borderId="0" xfId="0" applyNumberFormat="1" applyFont="1" applyBorder="1" applyAlignment="1">
      <alignment horizontal="justify" vertical="top" wrapText="1"/>
    </xf>
    <xf numFmtId="6" fontId="9" fillId="0" borderId="0" xfId="0" applyNumberFormat="1" applyFont="1" applyBorder="1" applyAlignment="1">
      <alignment horizontal="justify" vertical="top" wrapText="1"/>
    </xf>
    <xf numFmtId="3" fontId="0" fillId="0" borderId="0" xfId="0" applyNumberFormat="1" applyBorder="1">
      <alignment vertical="center"/>
    </xf>
    <xf numFmtId="9" fontId="0" fillId="0" borderId="9" xfId="3" applyFont="1" applyBorder="1">
      <alignment vertical="center"/>
    </xf>
    <xf numFmtId="9" fontId="0" fillId="0" borderId="0" xfId="3" applyFont="1" applyBorder="1">
      <alignment vertical="center"/>
    </xf>
  </cellXfs>
  <cellStyles count="4">
    <cellStyle name="Currency" xfId="1" builtinId="4"/>
    <cellStyle name="Normal" xfId="0" builtinId="0"/>
    <cellStyle name="Note" xfId="2" builtinId="1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FF00FF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v>Cash Flows</c:v>
          </c:tx>
          <c:spPr>
            <a:solidFill>
              <a:srgbClr val="4F81BD"/>
            </a:solidFill>
          </c:spPr>
          <c:invertIfNegative val="1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'Fin-Model'!$C$33:$G$33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'Fin-Model'!$C$84:$G$84</c:f>
              <c:numCache>
                <c:formatCode>_("$"* #,##0_);_("$"* \(#,##0\);_("$"* "-"??_);_(@_)</c:formatCode>
                <c:ptCount val="5"/>
                <c:pt idx="0">
                  <c:v>-1437795</c:v>
                </c:pt>
                <c:pt idx="1">
                  <c:v>-107730.83599999966</c:v>
                </c:pt>
                <c:pt idx="2">
                  <c:v>511833.97562400065</c:v>
                </c:pt>
                <c:pt idx="3">
                  <c:v>2080401.8887639847</c:v>
                </c:pt>
                <c:pt idx="4">
                  <c:v>5934478.9799391925</c:v>
                </c:pt>
              </c:numCache>
            </c:numRef>
          </c:val>
        </c:ser>
        <c:gapWidth val="76"/>
        <c:axId val="83564032"/>
        <c:axId val="83562496"/>
      </c:barChart>
      <c:scatterChart>
        <c:scatterStyle val="smoothMarker"/>
        <c:ser>
          <c:idx val="0"/>
          <c:order val="0"/>
          <c:tx>
            <c:v>Fixed Cost</c:v>
          </c:tx>
          <c:marker>
            <c:symbol val="none"/>
          </c:marker>
          <c:xVal>
            <c:strRef>
              <c:f>'Fin-Model'!$C$33:$G$33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'Fin-Model'!$C$63:$G$63</c:f>
              <c:numCache>
                <c:formatCode>0%</c:formatCode>
                <c:ptCount val="5"/>
                <c:pt idx="0">
                  <c:v>2.1112637362637363</c:v>
                </c:pt>
                <c:pt idx="1">
                  <c:v>0.45903013648016583</c:v>
                </c:pt>
                <c:pt idx="2">
                  <c:v>0.3660263264823207</c:v>
                </c:pt>
                <c:pt idx="3">
                  <c:v>0.31132937336864902</c:v>
                </c:pt>
                <c:pt idx="4">
                  <c:v>0.27585159286391259</c:v>
                </c:pt>
              </c:numCache>
            </c:numRef>
          </c:yVal>
          <c:smooth val="1"/>
        </c:ser>
        <c:axId val="83288832"/>
        <c:axId val="83290368"/>
      </c:scatterChart>
      <c:valAx>
        <c:axId val="83288832"/>
        <c:scaling>
          <c:orientation val="minMax"/>
        </c:scaling>
        <c:axPos val="b"/>
        <c:tickLblPos val="nextTo"/>
        <c:crossAx val="83290368"/>
        <c:crosses val="autoZero"/>
        <c:crossBetween val="midCat"/>
      </c:valAx>
      <c:valAx>
        <c:axId val="83290368"/>
        <c:scaling>
          <c:orientation val="minMax"/>
        </c:scaling>
        <c:axPos val="l"/>
        <c:majorGridlines/>
        <c:numFmt formatCode="0%" sourceLinked="1"/>
        <c:tickLblPos val="nextTo"/>
        <c:crossAx val="83288832"/>
        <c:crosses val="autoZero"/>
        <c:crossBetween val="midCat"/>
      </c:valAx>
      <c:valAx>
        <c:axId val="83562496"/>
        <c:scaling>
          <c:orientation val="minMax"/>
        </c:scaling>
        <c:axPos val="r"/>
        <c:numFmt formatCode="_(&quot;$&quot;* #,##0_);_(&quot;$&quot;* \(#,##0\);_(&quot;$&quot;* &quot;-&quot;??_);_(@_)" sourceLinked="1"/>
        <c:tickLblPos val="nextTo"/>
        <c:crossAx val="83564032"/>
        <c:crosses val="max"/>
        <c:crossBetween val="between"/>
      </c:valAx>
      <c:catAx>
        <c:axId val="83564032"/>
        <c:scaling>
          <c:orientation val="minMax"/>
        </c:scaling>
        <c:delete val="1"/>
        <c:axPos val="b"/>
        <c:tickLblPos val="none"/>
        <c:crossAx val="8356249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v>Cash Flows</c:v>
          </c:tx>
          <c:spPr>
            <a:solidFill>
              <a:srgbClr val="4F81BD"/>
            </a:solidFill>
          </c:spPr>
          <c:invertIfNegative val="1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'Fin-Model (PS)'!$C$34:$G$34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'Fin-Model (PS)'!$C$85:$G$85</c:f>
              <c:numCache>
                <c:formatCode>_("$"* #,##0_);_("$"* \(#,##0\);_("$"* "-"??_);_(@_)</c:formatCode>
                <c:ptCount val="5"/>
                <c:pt idx="0">
                  <c:v>-480180</c:v>
                </c:pt>
                <c:pt idx="1">
                  <c:v>-248846.42999999996</c:v>
                </c:pt>
                <c:pt idx="2">
                  <c:v>566847.25591750047</c:v>
                </c:pt>
                <c:pt idx="3">
                  <c:v>1683262.5719829237</c:v>
                </c:pt>
                <c:pt idx="4">
                  <c:v>4823766.8228814136</c:v>
                </c:pt>
              </c:numCache>
            </c:numRef>
          </c:val>
        </c:ser>
        <c:gapWidth val="76"/>
        <c:axId val="83641472"/>
        <c:axId val="83639680"/>
      </c:barChart>
      <c:scatterChart>
        <c:scatterStyle val="smoothMarker"/>
        <c:ser>
          <c:idx val="0"/>
          <c:order val="0"/>
          <c:tx>
            <c:v>Fixed Cost</c:v>
          </c:tx>
          <c:marker>
            <c:symbol val="none"/>
          </c:marker>
          <c:xVal>
            <c:strRef>
              <c:f>'Fin-Model (PS)'!$C$34:$G$34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'Fin-Model (PS)'!$C$64:$G$64</c:f>
              <c:numCache>
                <c:formatCode>0%</c:formatCode>
                <c:ptCount val="5"/>
                <c:pt idx="0">
                  <c:v>1.3216117216117216</c:v>
                </c:pt>
                <c:pt idx="1">
                  <c:v>0.78255078255078259</c:v>
                </c:pt>
                <c:pt idx="2">
                  <c:v>0.4364134727852359</c:v>
                </c:pt>
                <c:pt idx="3">
                  <c:v>0.31983186360224364</c:v>
                </c:pt>
                <c:pt idx="4">
                  <c:v>0.23238812733808045</c:v>
                </c:pt>
              </c:numCache>
            </c:numRef>
          </c:yVal>
          <c:smooth val="1"/>
        </c:ser>
        <c:axId val="83636608"/>
        <c:axId val="83638144"/>
      </c:scatterChart>
      <c:valAx>
        <c:axId val="83636608"/>
        <c:scaling>
          <c:orientation val="minMax"/>
        </c:scaling>
        <c:axPos val="b"/>
        <c:tickLblPos val="nextTo"/>
        <c:crossAx val="83638144"/>
        <c:crosses val="autoZero"/>
        <c:crossBetween val="midCat"/>
      </c:valAx>
      <c:valAx>
        <c:axId val="83638144"/>
        <c:scaling>
          <c:orientation val="minMax"/>
        </c:scaling>
        <c:axPos val="l"/>
        <c:majorGridlines/>
        <c:numFmt formatCode="0%" sourceLinked="1"/>
        <c:tickLblPos val="nextTo"/>
        <c:crossAx val="83636608"/>
        <c:crosses val="autoZero"/>
        <c:crossBetween val="midCat"/>
      </c:valAx>
      <c:valAx>
        <c:axId val="83639680"/>
        <c:scaling>
          <c:orientation val="minMax"/>
        </c:scaling>
        <c:axPos val="r"/>
        <c:numFmt formatCode="_(&quot;$&quot;* #,##0_);_(&quot;$&quot;* \(#,##0\);_(&quot;$&quot;* &quot;-&quot;??_);_(@_)" sourceLinked="1"/>
        <c:tickLblPos val="nextTo"/>
        <c:crossAx val="83641472"/>
        <c:crosses val="max"/>
        <c:crossBetween val="between"/>
      </c:valAx>
      <c:catAx>
        <c:axId val="83641472"/>
        <c:scaling>
          <c:orientation val="minMax"/>
        </c:scaling>
        <c:delete val="1"/>
        <c:axPos val="b"/>
        <c:tickLblPos val="none"/>
        <c:crossAx val="8363968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690563</xdr:colOff>
      <xdr:row>4</xdr:row>
      <xdr:rowOff>83343</xdr:rowOff>
    </xdr:from>
    <xdr:to>
      <xdr:col>2</xdr:col>
      <xdr:colOff>35718</xdr:colOff>
      <xdr:row>6</xdr:row>
      <xdr:rowOff>0</xdr:rowOff>
    </xdr:to>
    <xdr:sp macro="" textlink="">
      <xdr:nvSpPr>
        <xdr:cNvPr id="2" name="Right Arrow 1"/>
        <xdr:cNvSpPr/>
      </xdr:nvSpPr>
      <xdr:spPr>
        <a:xfrm rot="2020789">
          <a:off x="3131344" y="9584531"/>
          <a:ext cx="357187" cy="2500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35719</xdr:colOff>
      <xdr:row>12</xdr:row>
      <xdr:rowOff>178593</xdr:rowOff>
    </xdr:from>
    <xdr:to>
      <xdr:col>15</xdr:col>
      <xdr:colOff>440532</xdr:colOff>
      <xdr:row>31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690563</xdr:colOff>
      <xdr:row>4</xdr:row>
      <xdr:rowOff>83343</xdr:rowOff>
    </xdr:from>
    <xdr:to>
      <xdr:col>2</xdr:col>
      <xdr:colOff>35718</xdr:colOff>
      <xdr:row>6</xdr:row>
      <xdr:rowOff>0</xdr:rowOff>
    </xdr:to>
    <xdr:sp macro="" textlink="">
      <xdr:nvSpPr>
        <xdr:cNvPr id="2" name="Right Arrow 1"/>
        <xdr:cNvSpPr/>
      </xdr:nvSpPr>
      <xdr:spPr>
        <a:xfrm rot="2020789">
          <a:off x="3128963" y="731043"/>
          <a:ext cx="345280" cy="2500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35719</xdr:colOff>
      <xdr:row>12</xdr:row>
      <xdr:rowOff>178593</xdr:rowOff>
    </xdr:from>
    <xdr:to>
      <xdr:col>15</xdr:col>
      <xdr:colOff>440532</xdr:colOff>
      <xdr:row>32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E6" sqref="E6"/>
    </sheetView>
  </sheetViews>
  <sheetFormatPr defaultRowHeight="12.75"/>
  <cols>
    <col min="3" max="3" width="69.85546875" customWidth="1"/>
    <col min="5" max="5" width="73.7109375" customWidth="1"/>
  </cols>
  <sheetData>
    <row r="2" spans="1:5">
      <c r="A2" t="s">
        <v>107</v>
      </c>
      <c r="B2" t="s">
        <v>108</v>
      </c>
      <c r="C2" t="s">
        <v>109</v>
      </c>
      <c r="D2" t="s">
        <v>35</v>
      </c>
    </row>
    <row r="4" spans="1:5">
      <c r="A4">
        <v>1</v>
      </c>
      <c r="B4" s="52">
        <v>40585</v>
      </c>
      <c r="C4" t="s">
        <v>110</v>
      </c>
      <c r="D4">
        <v>1</v>
      </c>
      <c r="E4" t="s">
        <v>115</v>
      </c>
    </row>
    <row r="5" spans="1:5">
      <c r="A5">
        <v>1.1000000000000001</v>
      </c>
      <c r="B5" s="52">
        <v>40586</v>
      </c>
      <c r="C5" t="s">
        <v>111</v>
      </c>
      <c r="D5">
        <v>2</v>
      </c>
      <c r="E5" t="s">
        <v>124</v>
      </c>
    </row>
    <row r="6" spans="1:5">
      <c r="D6">
        <v>3</v>
      </c>
      <c r="E6" t="s">
        <v>134</v>
      </c>
    </row>
    <row r="7" spans="1:5">
      <c r="D7">
        <v>4</v>
      </c>
      <c r="E7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88"/>
  <sheetViews>
    <sheetView topLeftCell="A14" zoomScale="80" zoomScaleNormal="80" workbookViewId="0">
      <selection activeCell="C50" sqref="C50"/>
    </sheetView>
  </sheetViews>
  <sheetFormatPr defaultRowHeight="12.75"/>
  <cols>
    <col min="1" max="1" width="36.5703125" customWidth="1"/>
    <col min="2" max="2" width="15" customWidth="1"/>
    <col min="3" max="3" width="15.140625" bestFit="1" customWidth="1"/>
    <col min="4" max="4" width="19.7109375" customWidth="1"/>
    <col min="5" max="5" width="16.28515625" bestFit="1" customWidth="1"/>
    <col min="6" max="6" width="17.28515625" bestFit="1" customWidth="1"/>
    <col min="7" max="7" width="19.140625" bestFit="1" customWidth="1"/>
    <col min="8" max="8" width="18.5703125" customWidth="1"/>
    <col min="10" max="10" width="34.140625" customWidth="1"/>
    <col min="11" max="11" width="12.7109375" customWidth="1"/>
  </cols>
  <sheetData>
    <row r="2" spans="1:11">
      <c r="A2" s="39" t="s">
        <v>106</v>
      </c>
      <c r="B2" s="51">
        <f ca="1">TODAY()</f>
        <v>40594</v>
      </c>
    </row>
    <row r="5" spans="1:11">
      <c r="A5" s="39" t="s">
        <v>81</v>
      </c>
      <c r="B5" t="s">
        <v>104</v>
      </c>
    </row>
    <row r="6" spans="1:11" ht="13.5" thickBot="1"/>
    <row r="7" spans="1:11" ht="15.75" thickBot="1">
      <c r="A7" t="s">
        <v>102</v>
      </c>
      <c r="C7" s="43">
        <v>0.1</v>
      </c>
      <c r="D7" s="43">
        <v>0.1</v>
      </c>
      <c r="E7" s="43">
        <v>0.1</v>
      </c>
      <c r="F7" s="43">
        <v>0.1</v>
      </c>
      <c r="G7" s="43">
        <v>0.1</v>
      </c>
      <c r="J7" s="63" t="s">
        <v>121</v>
      </c>
      <c r="K7" s="64"/>
    </row>
    <row r="8" spans="1:11" ht="15">
      <c r="A8" t="s">
        <v>82</v>
      </c>
      <c r="C8" s="44"/>
      <c r="D8" s="43">
        <v>1</v>
      </c>
      <c r="E8" s="43">
        <v>1</v>
      </c>
      <c r="F8" s="43">
        <v>1</v>
      </c>
      <c r="G8" s="43">
        <v>1</v>
      </c>
      <c r="J8" s="57"/>
      <c r="K8" s="58"/>
    </row>
    <row r="9" spans="1:11" ht="15">
      <c r="A9" t="s">
        <v>95</v>
      </c>
      <c r="C9" s="44"/>
      <c r="D9" s="43">
        <v>1</v>
      </c>
      <c r="E9" s="43">
        <v>1</v>
      </c>
      <c r="F9" s="43">
        <v>1</v>
      </c>
      <c r="G9" s="43">
        <v>1</v>
      </c>
      <c r="J9" s="57" t="s">
        <v>122</v>
      </c>
      <c r="K9" s="59">
        <f>C61</f>
        <v>1537000</v>
      </c>
    </row>
    <row r="10" spans="1:11" ht="15">
      <c r="A10" t="s">
        <v>46</v>
      </c>
      <c r="C10" s="43">
        <v>0.03</v>
      </c>
      <c r="D10" s="43">
        <v>0.03</v>
      </c>
      <c r="E10" s="43">
        <v>0.03</v>
      </c>
      <c r="F10" s="43">
        <v>0.03</v>
      </c>
      <c r="G10" s="43">
        <v>0.03</v>
      </c>
      <c r="J10" s="57" t="s">
        <v>123</v>
      </c>
      <c r="K10" s="60">
        <f>C39-(C16+C17+C18)*C39</f>
        <v>6.5</v>
      </c>
    </row>
    <row r="11" spans="1:11" ht="15.75" thickBot="1">
      <c r="A11" t="s">
        <v>125</v>
      </c>
      <c r="C11" s="65">
        <v>75000</v>
      </c>
      <c r="D11" s="65">
        <v>75000</v>
      </c>
      <c r="E11" s="65">
        <v>75000</v>
      </c>
      <c r="F11" s="65">
        <v>75000</v>
      </c>
      <c r="G11" s="65">
        <v>75000</v>
      </c>
      <c r="J11" s="61" t="s">
        <v>140</v>
      </c>
      <c r="K11" s="62">
        <f>K9/K10/52/7/5/8</f>
        <v>16.240490278951818</v>
      </c>
    </row>
    <row r="12" spans="1:11" ht="15">
      <c r="A12" t="s">
        <v>83</v>
      </c>
      <c r="C12" s="43">
        <v>-0.06</v>
      </c>
      <c r="D12" s="43">
        <v>7.0000000000000007E-2</v>
      </c>
      <c r="E12" s="43">
        <v>7.0000000000000007E-2</v>
      </c>
      <c r="F12" s="43">
        <v>7.0000000000000007E-2</v>
      </c>
      <c r="G12" s="43">
        <v>7.0000000000000007E-2</v>
      </c>
    </row>
    <row r="13" spans="1:11" ht="15">
      <c r="A13" t="s">
        <v>85</v>
      </c>
      <c r="C13" s="65">
        <v>750000</v>
      </c>
      <c r="D13" s="66">
        <v>0.05</v>
      </c>
      <c r="E13" s="66">
        <v>0.05</v>
      </c>
      <c r="F13" s="66">
        <v>0.05</v>
      </c>
      <c r="G13" s="66">
        <v>0.05</v>
      </c>
      <c r="H13" t="s">
        <v>126</v>
      </c>
    </row>
    <row r="14" spans="1:11" ht="15">
      <c r="A14" t="s">
        <v>84</v>
      </c>
      <c r="C14" s="56">
        <v>80000</v>
      </c>
      <c r="D14" s="56">
        <v>80000</v>
      </c>
      <c r="E14" s="56">
        <v>80000</v>
      </c>
      <c r="F14" s="56">
        <v>80000</v>
      </c>
      <c r="G14" s="56">
        <v>80000</v>
      </c>
      <c r="H14" t="s">
        <v>117</v>
      </c>
    </row>
    <row r="15" spans="1:11" ht="15">
      <c r="A15" t="s">
        <v>91</v>
      </c>
      <c r="C15" s="56">
        <f>200*12</f>
        <v>2400</v>
      </c>
      <c r="D15" s="56">
        <f>200*12</f>
        <v>2400</v>
      </c>
      <c r="E15" s="56">
        <f>200*12</f>
        <v>2400</v>
      </c>
      <c r="F15" s="56">
        <f>200*12</f>
        <v>2400</v>
      </c>
      <c r="G15" s="56">
        <f>200*12</f>
        <v>2400</v>
      </c>
      <c r="H15" t="s">
        <v>117</v>
      </c>
    </row>
    <row r="16" spans="1:11" ht="15">
      <c r="A16" t="s">
        <v>73</v>
      </c>
      <c r="C16" s="43">
        <v>0.2</v>
      </c>
      <c r="D16" s="43">
        <v>0.2</v>
      </c>
      <c r="E16" s="43">
        <v>0.2</v>
      </c>
      <c r="F16" s="43">
        <v>0.2</v>
      </c>
      <c r="G16" s="43">
        <v>0.2</v>
      </c>
      <c r="H16">
        <v>20</v>
      </c>
    </row>
    <row r="17" spans="1:8" ht="15">
      <c r="A17" t="s">
        <v>88</v>
      </c>
      <c r="C17" s="43">
        <v>0.1</v>
      </c>
      <c r="D17" s="43">
        <v>0.1</v>
      </c>
      <c r="E17" s="43">
        <v>0.1</v>
      </c>
      <c r="F17" s="43">
        <v>0.1</v>
      </c>
      <c r="G17" s="43">
        <v>0.1</v>
      </c>
      <c r="H17" t="s">
        <v>116</v>
      </c>
    </row>
    <row r="18" spans="1:8" ht="15">
      <c r="A18" t="s">
        <v>3</v>
      </c>
      <c r="C18" s="43">
        <v>0.05</v>
      </c>
      <c r="D18" s="43">
        <v>0.05</v>
      </c>
      <c r="E18" s="43">
        <v>0.05</v>
      </c>
      <c r="F18" s="43">
        <v>0.05</v>
      </c>
      <c r="G18" s="43">
        <v>0.05</v>
      </c>
      <c r="H18" t="s">
        <v>116</v>
      </c>
    </row>
    <row r="19" spans="1:8" ht="15">
      <c r="A19" t="s">
        <v>17</v>
      </c>
      <c r="C19" s="43">
        <v>0.35</v>
      </c>
      <c r="D19" s="43">
        <v>0.35</v>
      </c>
      <c r="E19" s="43">
        <v>0.35</v>
      </c>
      <c r="F19" s="43">
        <v>0.35</v>
      </c>
      <c r="G19" s="43">
        <v>0.35</v>
      </c>
    </row>
    <row r="20" spans="1:8" ht="15">
      <c r="A20" t="s">
        <v>12</v>
      </c>
      <c r="C20" s="56">
        <v>150000</v>
      </c>
      <c r="D20" s="56">
        <v>150000</v>
      </c>
      <c r="E20" s="56">
        <v>150000</v>
      </c>
      <c r="F20" s="56">
        <v>150000</v>
      </c>
      <c r="G20" s="56">
        <v>150000</v>
      </c>
      <c r="H20" s="30" t="s">
        <v>118</v>
      </c>
    </row>
    <row r="21" spans="1:8" ht="15">
      <c r="A21" t="s">
        <v>138</v>
      </c>
      <c r="C21" s="56">
        <v>100000</v>
      </c>
      <c r="D21" s="56">
        <v>100000</v>
      </c>
      <c r="E21" s="56">
        <v>100000</v>
      </c>
      <c r="F21" s="56">
        <v>100000</v>
      </c>
      <c r="G21" s="56">
        <v>100000</v>
      </c>
      <c r="H21" t="s">
        <v>118</v>
      </c>
    </row>
    <row r="22" spans="1:8">
      <c r="A22" t="s">
        <v>80</v>
      </c>
      <c r="B22">
        <v>5</v>
      </c>
      <c r="C22" s="45"/>
      <c r="D22" s="45"/>
      <c r="E22" s="45"/>
      <c r="F22" s="45"/>
      <c r="G22" s="45"/>
      <c r="H22" t="s">
        <v>139</v>
      </c>
    </row>
    <row r="23" spans="1:8">
      <c r="A23" t="s">
        <v>114</v>
      </c>
      <c r="C23" s="55">
        <v>0.1</v>
      </c>
      <c r="D23" s="55">
        <v>0.1</v>
      </c>
      <c r="E23" s="55">
        <v>0.1</v>
      </c>
      <c r="F23" s="55">
        <v>0.1</v>
      </c>
      <c r="G23" s="55">
        <v>0.1</v>
      </c>
      <c r="H23" t="s">
        <v>116</v>
      </c>
    </row>
    <row r="24" spans="1:8">
      <c r="A24" t="s">
        <v>127</v>
      </c>
      <c r="B24" s="30">
        <v>0.3</v>
      </c>
    </row>
    <row r="25" spans="1:8">
      <c r="A25" s="39" t="s">
        <v>105</v>
      </c>
    </row>
    <row r="26" spans="1:8">
      <c r="A26" s="46" t="s">
        <v>103</v>
      </c>
      <c r="B26" s="47">
        <f>MIRR(B84:H84,0.1,0.05)</f>
        <v>0.90756923007427703</v>
      </c>
      <c r="C26" s="34"/>
      <c r="D26" s="34"/>
      <c r="E26" s="34"/>
      <c r="F26" s="34"/>
      <c r="G26" s="48"/>
    </row>
    <row r="27" spans="1:8">
      <c r="A27" s="20" t="s">
        <v>128</v>
      </c>
      <c r="B27" s="37">
        <f>SUM(B88:H88)</f>
        <v>9381600.1938202139</v>
      </c>
      <c r="C27" s="36"/>
      <c r="D27" s="36"/>
      <c r="E27" s="36"/>
      <c r="F27" s="36"/>
      <c r="G27" s="21"/>
    </row>
    <row r="28" spans="1:8">
      <c r="A28" s="20" t="s">
        <v>137</v>
      </c>
      <c r="B28" s="37">
        <f>ABS(SUM(C84:D84))</f>
        <v>1545525.8359999997</v>
      </c>
      <c r="C28" s="36"/>
      <c r="D28" s="36"/>
      <c r="E28" s="36"/>
      <c r="F28" s="36"/>
      <c r="G28" s="36"/>
    </row>
    <row r="29" spans="1:8">
      <c r="A29" s="49" t="s">
        <v>83</v>
      </c>
      <c r="B29" s="50"/>
      <c r="C29" s="50">
        <f>C81/C41</f>
        <v>-0.95919642857142862</v>
      </c>
      <c r="D29" s="50">
        <f>D81/D41</f>
        <v>0.12280376268256635</v>
      </c>
      <c r="E29" s="50">
        <f>E81/E41</f>
        <v>0.18332592766661768</v>
      </c>
      <c r="F29" s="50">
        <f>F81/F41</f>
        <v>0.21894955438208932</v>
      </c>
      <c r="G29" s="50">
        <f>G81/G41</f>
        <v>0.24208109808006315</v>
      </c>
    </row>
    <row r="33" spans="1:8">
      <c r="B33" s="38" t="s">
        <v>79</v>
      </c>
      <c r="C33" s="38" t="s">
        <v>50</v>
      </c>
      <c r="D33" s="38" t="s">
        <v>49</v>
      </c>
      <c r="E33" s="38" t="s">
        <v>42</v>
      </c>
      <c r="F33" s="38" t="s">
        <v>43</v>
      </c>
      <c r="G33" s="38" t="s">
        <v>45</v>
      </c>
      <c r="H33" s="38" t="s">
        <v>92</v>
      </c>
    </row>
    <row r="35" spans="1:8">
      <c r="A35" t="s">
        <v>69</v>
      </c>
      <c r="C35" s="32">
        <v>40</v>
      </c>
      <c r="D35" s="32">
        <f>C35*(1+D7)</f>
        <v>44</v>
      </c>
      <c r="E35" s="32">
        <f>D35*(1+E7)</f>
        <v>48.400000000000006</v>
      </c>
      <c r="F35" s="32">
        <f>E35*(1+F7)</f>
        <v>53.240000000000009</v>
      </c>
      <c r="G35" s="32">
        <f>F35*(1+G7)</f>
        <v>58.564000000000014</v>
      </c>
    </row>
    <row r="36" spans="1:8">
      <c r="A36" t="s">
        <v>70</v>
      </c>
      <c r="C36" s="32">
        <f>C35*7</f>
        <v>280</v>
      </c>
      <c r="D36" s="32">
        <f>D35*7</f>
        <v>308</v>
      </c>
      <c r="E36" s="32">
        <f>E35*7</f>
        <v>338.80000000000007</v>
      </c>
      <c r="F36" s="32">
        <f>F35*7</f>
        <v>372.68000000000006</v>
      </c>
      <c r="G36" s="32">
        <f>G35*7</f>
        <v>409.94800000000009</v>
      </c>
    </row>
    <row r="37" spans="1:8">
      <c r="A37" t="s">
        <v>131</v>
      </c>
      <c r="C37" s="32">
        <v>5</v>
      </c>
      <c r="D37" s="32">
        <f>C37*(1+D8)</f>
        <v>10</v>
      </c>
      <c r="E37" s="32">
        <f>D37*(1+E8)</f>
        <v>20</v>
      </c>
      <c r="F37" s="32">
        <f>E37*(1+F8)</f>
        <v>40</v>
      </c>
      <c r="G37" s="32">
        <f>F37*(1+G8)</f>
        <v>80</v>
      </c>
    </row>
    <row r="38" spans="1:8">
      <c r="A38" t="s">
        <v>94</v>
      </c>
      <c r="C38" s="32">
        <v>0</v>
      </c>
      <c r="D38" s="32">
        <v>30</v>
      </c>
      <c r="E38" s="32">
        <f t="shared" ref="E38:G39" si="0">D38*(1+E9)</f>
        <v>60</v>
      </c>
      <c r="F38" s="32">
        <f t="shared" si="0"/>
        <v>120</v>
      </c>
      <c r="G38" s="32">
        <f t="shared" si="0"/>
        <v>240</v>
      </c>
    </row>
    <row r="39" spans="1:8">
      <c r="A39" t="s">
        <v>71</v>
      </c>
      <c r="C39" s="32">
        <v>10</v>
      </c>
      <c r="D39" s="32">
        <f>C39*(1+D10)</f>
        <v>10.3</v>
      </c>
      <c r="E39" s="32">
        <f t="shared" si="0"/>
        <v>10.609000000000002</v>
      </c>
      <c r="F39" s="32">
        <f t="shared" si="0"/>
        <v>10.927270000000002</v>
      </c>
      <c r="G39" s="32">
        <f t="shared" si="0"/>
        <v>11.255088100000002</v>
      </c>
    </row>
    <row r="40" spans="1:8">
      <c r="A40" t="s">
        <v>113</v>
      </c>
      <c r="C40" s="31">
        <f>52*C39*C38*C36*C23</f>
        <v>0</v>
      </c>
      <c r="D40" s="31">
        <f t="shared" ref="D40:G40" si="1">52*D39*D38*D36*D23</f>
        <v>494894.4</v>
      </c>
      <c r="E40" s="31">
        <f t="shared" si="1"/>
        <v>1121430.7104000007</v>
      </c>
      <c r="F40" s="31">
        <f t="shared" si="1"/>
        <v>2541161.9897664012</v>
      </c>
      <c r="G40" s="31">
        <f t="shared" si="1"/>
        <v>5758273.0688106641</v>
      </c>
    </row>
    <row r="41" spans="1:8">
      <c r="A41" s="40" t="s">
        <v>68</v>
      </c>
      <c r="B41" s="53">
        <v>0</v>
      </c>
      <c r="C41" s="54">
        <f>52*((C39*C37*C36))+(C38*C21) +C40</f>
        <v>728000</v>
      </c>
      <c r="D41" s="54">
        <f t="shared" ref="D41:G41" si="2">52*((D39*D37*D36))+(D38*D21) +D40</f>
        <v>5144542.4000000004</v>
      </c>
      <c r="E41" s="54">
        <f t="shared" si="2"/>
        <v>10859533.078400001</v>
      </c>
      <c r="F41" s="54">
        <f t="shared" si="2"/>
        <v>23011701.955654401</v>
      </c>
      <c r="G41" s="54">
        <f t="shared" si="2"/>
        <v>48952516.63151288</v>
      </c>
    </row>
    <row r="43" spans="1:8">
      <c r="A43" t="s">
        <v>72</v>
      </c>
    </row>
    <row r="45" spans="1:8">
      <c r="A45" t="s">
        <v>25</v>
      </c>
    </row>
    <row r="46" spans="1:8">
      <c r="A46" t="s">
        <v>74</v>
      </c>
      <c r="C46" s="31">
        <f>C41*(C18)</f>
        <v>36400</v>
      </c>
      <c r="D46" s="31">
        <f>D41*(D18)</f>
        <v>257227.12000000002</v>
      </c>
      <c r="E46" s="31">
        <f>E41*(E18)</f>
        <v>542976.65392000007</v>
      </c>
      <c r="F46" s="31">
        <f>F41*(F18)</f>
        <v>1150585.0977827201</v>
      </c>
      <c r="G46" s="31">
        <f>G41*(G18)</f>
        <v>2447625.8315756442</v>
      </c>
    </row>
    <row r="47" spans="1:8">
      <c r="A47" t="s">
        <v>75</v>
      </c>
      <c r="C47" s="33">
        <f>C16*C41</f>
        <v>145600</v>
      </c>
      <c r="D47" s="33">
        <f>D16*D41</f>
        <v>1028908.4800000001</v>
      </c>
      <c r="E47" s="33">
        <f>E16*E41</f>
        <v>2171906.6156800003</v>
      </c>
      <c r="F47" s="33">
        <f>F16*F41</f>
        <v>4602340.3911308805</v>
      </c>
      <c r="G47" s="33">
        <f>G16*G41</f>
        <v>9790503.3263025768</v>
      </c>
    </row>
    <row r="48" spans="1:8">
      <c r="A48" t="s">
        <v>87</v>
      </c>
      <c r="C48" s="33">
        <f>C17*C41</f>
        <v>72800</v>
      </c>
      <c r="D48" s="33">
        <f>D17*D41</f>
        <v>514454.24000000005</v>
      </c>
      <c r="E48" s="33">
        <f>E17*E41</f>
        <v>1085953.3078400001</v>
      </c>
      <c r="F48" s="33">
        <f>F17*F41</f>
        <v>2301170.1955654402</v>
      </c>
      <c r="G48" s="33">
        <f>G17*G41</f>
        <v>4895251.6631512884</v>
      </c>
    </row>
    <row r="49" spans="1:10">
      <c r="A49" s="40" t="s">
        <v>89</v>
      </c>
      <c r="B49" s="34">
        <v>0</v>
      </c>
      <c r="C49" s="35">
        <f>SUM(C46:C48)</f>
        <v>254800</v>
      </c>
      <c r="D49" s="35">
        <f>SUM(D46:D48)</f>
        <v>1800589.84</v>
      </c>
      <c r="E49" s="35">
        <f>SUM(E46:E48)</f>
        <v>3800836.5774400001</v>
      </c>
      <c r="F49" s="35">
        <f>SUM(F46:F48)</f>
        <v>8054095.684479041</v>
      </c>
      <c r="G49" s="35">
        <f>SUM(G46:G48)</f>
        <v>17133380.821029507</v>
      </c>
    </row>
    <row r="51" spans="1:10">
      <c r="A51" t="s">
        <v>90</v>
      </c>
      <c r="C51" s="33">
        <f>C41-C49</f>
        <v>473200</v>
      </c>
      <c r="D51" s="33">
        <f>D41-D49</f>
        <v>3343952.5600000005</v>
      </c>
      <c r="E51" s="33">
        <f>E41-E49</f>
        <v>7058696.5009600008</v>
      </c>
      <c r="F51" s="33">
        <f>F41-F49</f>
        <v>14957606.27117536</v>
      </c>
      <c r="G51" s="33">
        <f>G41-G49</f>
        <v>31819135.810483374</v>
      </c>
    </row>
    <row r="52" spans="1:10">
      <c r="C52" s="33"/>
      <c r="D52" s="33"/>
      <c r="E52" s="33"/>
      <c r="F52" s="33"/>
      <c r="G52" s="33"/>
    </row>
    <row r="53" spans="1:10">
      <c r="A53" t="s">
        <v>130</v>
      </c>
      <c r="C53" s="67">
        <f>(C41-C49)/C41</f>
        <v>0.65</v>
      </c>
      <c r="D53" s="67">
        <f t="shared" ref="D53:G53" si="3">(D41-D49)/D41</f>
        <v>0.65</v>
      </c>
      <c r="E53" s="67">
        <f t="shared" si="3"/>
        <v>0.65</v>
      </c>
      <c r="F53" s="67">
        <f t="shared" si="3"/>
        <v>0.65</v>
      </c>
      <c r="G53" s="67">
        <f t="shared" si="3"/>
        <v>0.65</v>
      </c>
    </row>
    <row r="54" spans="1:10">
      <c r="C54" s="67"/>
      <c r="D54" s="67"/>
      <c r="E54" s="67"/>
      <c r="F54" s="67"/>
      <c r="G54" s="67"/>
    </row>
    <row r="55" spans="1:10">
      <c r="A55" t="s">
        <v>112</v>
      </c>
    </row>
    <row r="57" spans="1:10">
      <c r="A57" t="s">
        <v>18</v>
      </c>
      <c r="C57" s="33">
        <f>C11*C37</f>
        <v>375000</v>
      </c>
      <c r="D57" s="33">
        <f t="shared" ref="D57:G57" si="4">D11*D37</f>
        <v>750000</v>
      </c>
      <c r="E57" s="33">
        <f t="shared" si="4"/>
        <v>1500000</v>
      </c>
      <c r="F57" s="33">
        <f t="shared" si="4"/>
        <v>3000000</v>
      </c>
      <c r="G57" s="33">
        <f t="shared" si="4"/>
        <v>6000000</v>
      </c>
    </row>
    <row r="58" spans="1:10">
      <c r="A58" t="s">
        <v>67</v>
      </c>
      <c r="C58" s="31">
        <f>C15*C37</f>
        <v>12000</v>
      </c>
      <c r="D58" s="31">
        <f>D15*D37</f>
        <v>24000</v>
      </c>
      <c r="E58" s="31">
        <f>E15*E37</f>
        <v>48000</v>
      </c>
      <c r="F58" s="31">
        <f>F15*F37</f>
        <v>96000</v>
      </c>
      <c r="G58" s="31">
        <f>G15*G37</f>
        <v>192000</v>
      </c>
    </row>
    <row r="59" spans="1:10">
      <c r="A59" t="s">
        <v>23</v>
      </c>
      <c r="C59" s="31">
        <f>$C$14*C37</f>
        <v>400000</v>
      </c>
      <c r="D59" s="31">
        <f>$C$14*D37</f>
        <v>800000</v>
      </c>
      <c r="E59" s="31">
        <f>$C$14*E37</f>
        <v>1600000</v>
      </c>
      <c r="F59" s="31">
        <f>$C$14*F37</f>
        <v>3200000</v>
      </c>
      <c r="G59" s="31">
        <f>$C$14*G37</f>
        <v>6400000</v>
      </c>
    </row>
    <row r="60" spans="1:10">
      <c r="A60" t="s">
        <v>76</v>
      </c>
      <c r="C60" s="33">
        <v>750000</v>
      </c>
      <c r="D60" s="33">
        <f>C60*(1+D13)</f>
        <v>787500</v>
      </c>
      <c r="E60" s="33">
        <f t="shared" ref="E60:G60" si="5">D60*(1+E13)</f>
        <v>826875</v>
      </c>
      <c r="F60" s="33">
        <f t="shared" si="5"/>
        <v>868218.75</v>
      </c>
      <c r="G60" s="33">
        <f t="shared" si="5"/>
        <v>911629.6875</v>
      </c>
      <c r="J60" s="33"/>
    </row>
    <row r="61" spans="1:10">
      <c r="A61" s="40" t="s">
        <v>86</v>
      </c>
      <c r="B61" s="34">
        <v>0</v>
      </c>
      <c r="C61" s="35">
        <f>SUM(C57:C60)</f>
        <v>1537000</v>
      </c>
      <c r="D61" s="35">
        <f>SUM(D57:D60)</f>
        <v>2361500</v>
      </c>
      <c r="E61" s="35">
        <f>SUM(E57:E60)</f>
        <v>3974875</v>
      </c>
      <c r="F61" s="35">
        <f>SUM(F57:F60)</f>
        <v>7164218.75</v>
      </c>
      <c r="G61" s="35">
        <f>SUM(G57:G60)</f>
        <v>13503629.6875</v>
      </c>
    </row>
    <row r="62" spans="1:10">
      <c r="A62" s="36"/>
      <c r="B62" s="36"/>
      <c r="C62" s="37"/>
      <c r="D62" s="37"/>
      <c r="E62" s="37"/>
      <c r="F62" s="37"/>
      <c r="G62" s="37"/>
    </row>
    <row r="63" spans="1:10">
      <c r="A63" s="68" t="s">
        <v>129</v>
      </c>
      <c r="C63" s="67">
        <f>C61/C41</f>
        <v>2.1112637362637363</v>
      </c>
      <c r="D63" s="67">
        <f t="shared" ref="D63:G63" si="6">D61/D41</f>
        <v>0.45903013648016583</v>
      </c>
      <c r="E63" s="67">
        <f t="shared" si="6"/>
        <v>0.3660263264823207</v>
      </c>
      <c r="F63" s="67">
        <f t="shared" si="6"/>
        <v>0.31132937336864902</v>
      </c>
      <c r="G63" s="67">
        <f t="shared" si="6"/>
        <v>0.27585159286391259</v>
      </c>
    </row>
    <row r="64" spans="1:10">
      <c r="A64" s="68"/>
      <c r="C64" s="33"/>
      <c r="D64" s="33"/>
      <c r="E64" s="33"/>
      <c r="F64" s="33"/>
      <c r="G64" s="33"/>
    </row>
    <row r="65" spans="1:8">
      <c r="A65" t="s">
        <v>132</v>
      </c>
    </row>
    <row r="67" spans="1:8">
      <c r="A67" t="s">
        <v>98</v>
      </c>
      <c r="C67" s="31">
        <f>C20*(C37-B37)</f>
        <v>750000</v>
      </c>
      <c r="D67" s="31">
        <f>D20*(D37-C37)</f>
        <v>750000</v>
      </c>
      <c r="E67" s="31">
        <f>E20*(E37-D37)</f>
        <v>1500000</v>
      </c>
      <c r="F67" s="31">
        <f>F20*(F37-E37)</f>
        <v>3000000</v>
      </c>
      <c r="G67" s="31">
        <f>G20*(G37-F37)</f>
        <v>6000000</v>
      </c>
      <c r="H67" s="31"/>
    </row>
    <row r="68" spans="1:8">
      <c r="A68" t="s">
        <v>77</v>
      </c>
      <c r="C68" s="31">
        <f>500*C37</f>
        <v>2500</v>
      </c>
      <c r="D68" s="31">
        <f>500*D37</f>
        <v>5000</v>
      </c>
      <c r="E68" s="31">
        <f>500*E37</f>
        <v>10000</v>
      </c>
      <c r="F68" s="31">
        <f>500*F37</f>
        <v>20000</v>
      </c>
      <c r="G68" s="31">
        <f>500*G37</f>
        <v>40000</v>
      </c>
    </row>
    <row r="69" spans="1:8">
      <c r="A69" t="s">
        <v>78</v>
      </c>
      <c r="C69" s="31">
        <v>50000</v>
      </c>
    </row>
    <row r="71" spans="1:8">
      <c r="A71" s="39" t="s">
        <v>93</v>
      </c>
      <c r="B71" s="35"/>
      <c r="C71" s="35">
        <f>SUM(C67:C69)</f>
        <v>802500</v>
      </c>
      <c r="D71" s="35">
        <f t="shared" ref="D71:F71" si="7">SUM(D67:D69)</f>
        <v>755000</v>
      </c>
      <c r="E71" s="35">
        <f t="shared" si="7"/>
        <v>1510000</v>
      </c>
      <c r="F71" s="35">
        <f t="shared" si="7"/>
        <v>3020000</v>
      </c>
      <c r="G71" s="35">
        <f>SUM(G67:G69)</f>
        <v>6040000</v>
      </c>
    </row>
    <row r="73" spans="1:8">
      <c r="A73" t="s">
        <v>96</v>
      </c>
      <c r="B73" s="33"/>
      <c r="C73" s="33">
        <f t="shared" ref="C73:G73" si="8">C51-C61</f>
        <v>-1063800</v>
      </c>
      <c r="D73" s="33">
        <f t="shared" si="8"/>
        <v>982452.56000000052</v>
      </c>
      <c r="E73" s="33">
        <f t="shared" si="8"/>
        <v>3083821.5009600008</v>
      </c>
      <c r="F73" s="33">
        <f t="shared" si="8"/>
        <v>7793387.5211753603</v>
      </c>
      <c r="G73" s="33">
        <f t="shared" si="8"/>
        <v>18315506.122983374</v>
      </c>
    </row>
    <row r="75" spans="1:8">
      <c r="A75" t="s">
        <v>97</v>
      </c>
      <c r="C75" s="31">
        <f>0.07*C67/5</f>
        <v>10500.000000000002</v>
      </c>
      <c r="D75" s="31">
        <f>0.07*D67/5</f>
        <v>10500.000000000002</v>
      </c>
      <c r="E75" s="31">
        <f>0.07*E67/5</f>
        <v>21000.000000000004</v>
      </c>
      <c r="F75" s="31">
        <f>0.07*F67/5</f>
        <v>42000.000000000007</v>
      </c>
      <c r="G75" s="31">
        <f>0.07*G67/5</f>
        <v>84000.000000000015</v>
      </c>
    </row>
    <row r="77" spans="1:8">
      <c r="A77" t="s">
        <v>135</v>
      </c>
      <c r="C77" s="33">
        <f>C73-C75</f>
        <v>-1074300</v>
      </c>
      <c r="D77" s="33">
        <f t="shared" ref="D77:G77" si="9">D73-D75</f>
        <v>971952.56000000052</v>
      </c>
      <c r="E77" s="33">
        <f t="shared" si="9"/>
        <v>3062821.5009600008</v>
      </c>
      <c r="F77" s="33">
        <f t="shared" si="9"/>
        <v>7751387.5211753603</v>
      </c>
      <c r="G77" s="33">
        <f t="shared" si="9"/>
        <v>18231506.122983374</v>
      </c>
    </row>
    <row r="78" spans="1:8">
      <c r="A78" t="s">
        <v>133</v>
      </c>
    </row>
    <row r="79" spans="1:8">
      <c r="A79" t="s">
        <v>99</v>
      </c>
      <c r="C79" s="33">
        <f>C77*C19</f>
        <v>-376005</v>
      </c>
      <c r="D79" s="33">
        <f>D77*D19</f>
        <v>340183.39600000018</v>
      </c>
      <c r="E79" s="33">
        <f>E77*E19</f>
        <v>1071987.5253360001</v>
      </c>
      <c r="F79" s="33">
        <f>F77*F19</f>
        <v>2712985.6324113761</v>
      </c>
      <c r="G79" s="33">
        <f>G77*G19</f>
        <v>6381027.1430441802</v>
      </c>
    </row>
    <row r="81" spans="1:8">
      <c r="A81" t="s">
        <v>6</v>
      </c>
      <c r="C81" s="33">
        <f>C77-C79</f>
        <v>-698295</v>
      </c>
      <c r="D81" s="33">
        <f>D77-D79</f>
        <v>631769.16400000034</v>
      </c>
      <c r="E81" s="33">
        <f>E77-E79</f>
        <v>1990833.9756240007</v>
      </c>
      <c r="F81" s="33">
        <f>F77-F79</f>
        <v>5038401.8887639847</v>
      </c>
      <c r="G81" s="33">
        <f>G77-G79</f>
        <v>11850478.979939193</v>
      </c>
    </row>
    <row r="82" spans="1:8">
      <c r="A82" t="s">
        <v>59</v>
      </c>
      <c r="C82" s="33">
        <f>C75</f>
        <v>10500.000000000002</v>
      </c>
      <c r="D82" s="33">
        <f>D75</f>
        <v>10500.000000000002</v>
      </c>
      <c r="E82" s="33">
        <f>E75</f>
        <v>21000.000000000004</v>
      </c>
      <c r="F82" s="33">
        <f>F75</f>
        <v>42000.000000000007</v>
      </c>
      <c r="G82" s="33">
        <f>G75</f>
        <v>84000.000000000015</v>
      </c>
    </row>
    <row r="83" spans="1:8">
      <c r="A83" t="s">
        <v>100</v>
      </c>
      <c r="B83" s="42"/>
      <c r="C83" s="33">
        <f>C67</f>
        <v>750000</v>
      </c>
      <c r="D83" s="33">
        <f>D67</f>
        <v>750000</v>
      </c>
      <c r="E83" s="33">
        <f>E67</f>
        <v>1500000</v>
      </c>
      <c r="F83" s="33">
        <f>F67</f>
        <v>3000000</v>
      </c>
      <c r="G83" s="33">
        <f>G67</f>
        <v>6000000</v>
      </c>
    </row>
    <row r="84" spans="1:8">
      <c r="A84" s="34" t="s">
        <v>101</v>
      </c>
      <c r="B84" s="31"/>
      <c r="C84" s="35">
        <f>C81+C82-C83</f>
        <v>-1437795</v>
      </c>
      <c r="D84" s="35">
        <f>D81+D82-D83</f>
        <v>-107730.83599999966</v>
      </c>
      <c r="E84" s="35">
        <f>E81+E82-E83</f>
        <v>511833.97562400065</v>
      </c>
      <c r="F84" s="35">
        <f>F81+F82-F83</f>
        <v>2080401.8887639847</v>
      </c>
      <c r="G84" s="35">
        <f>G81+G82-G83</f>
        <v>5934478.9799391925</v>
      </c>
      <c r="H84" s="33">
        <f>$B$22*G84</f>
        <v>29672394.899695963</v>
      </c>
    </row>
    <row r="86" spans="1:8">
      <c r="A86" t="s">
        <v>119</v>
      </c>
      <c r="B86">
        <v>0</v>
      </c>
      <c r="C86" s="33">
        <v>1</v>
      </c>
      <c r="D86" s="33">
        <v>2</v>
      </c>
      <c r="E86" s="33">
        <v>3</v>
      </c>
      <c r="F86" s="33">
        <v>4</v>
      </c>
      <c r="G86" s="33">
        <v>5</v>
      </c>
    </row>
    <row r="88" spans="1:8">
      <c r="A88" t="s">
        <v>120</v>
      </c>
      <c r="B88" s="31"/>
      <c r="C88" s="31">
        <f t="shared" ref="C88:G88" si="10">C84/(1+$B$24)^C86</f>
        <v>-1105996.1538461538</v>
      </c>
      <c r="D88" s="31">
        <f t="shared" si="10"/>
        <v>-63746.056804733518</v>
      </c>
      <c r="E88" s="31">
        <f t="shared" si="10"/>
        <v>232969.49277378267</v>
      </c>
      <c r="F88" s="31">
        <f t="shared" si="10"/>
        <v>728406.52945064404</v>
      </c>
      <c r="G88" s="31">
        <f t="shared" si="10"/>
        <v>1598327.7303744459</v>
      </c>
      <c r="H88" s="31">
        <f>H84/(1+$B$24)^5</f>
        <v>7991638.6518722288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K89"/>
  <sheetViews>
    <sheetView tabSelected="1" zoomScale="80" zoomScaleNormal="80" workbookViewId="0">
      <selection activeCell="G4" sqref="G4"/>
    </sheetView>
  </sheetViews>
  <sheetFormatPr defaultRowHeight="12.75"/>
  <cols>
    <col min="1" max="1" width="36.5703125" customWidth="1"/>
    <col min="2" max="2" width="15" customWidth="1"/>
    <col min="3" max="3" width="15.140625" bestFit="1" customWidth="1"/>
    <col min="4" max="4" width="19.7109375" customWidth="1"/>
    <col min="5" max="5" width="16.28515625" bestFit="1" customWidth="1"/>
    <col min="6" max="6" width="17.28515625" bestFit="1" customWidth="1"/>
    <col min="7" max="7" width="19.140625" bestFit="1" customWidth="1"/>
    <col min="8" max="8" width="18.5703125" customWidth="1"/>
    <col min="10" max="10" width="34.140625" customWidth="1"/>
    <col min="11" max="11" width="12.7109375" customWidth="1"/>
  </cols>
  <sheetData>
    <row r="2" spans="1:11">
      <c r="A2" s="39" t="s">
        <v>106</v>
      </c>
      <c r="B2" s="51">
        <f ca="1">TODAY()</f>
        <v>40594</v>
      </c>
    </row>
    <row r="5" spans="1:11">
      <c r="A5" s="39" t="s">
        <v>81</v>
      </c>
      <c r="B5" t="s">
        <v>104</v>
      </c>
    </row>
    <row r="6" spans="1:11" ht="13.5" thickBot="1"/>
    <row r="7" spans="1:11" ht="15.75" thickBot="1">
      <c r="A7" t="s">
        <v>102</v>
      </c>
      <c r="C7" s="43">
        <v>0.1</v>
      </c>
      <c r="D7" s="43">
        <v>0.1</v>
      </c>
      <c r="E7" s="43">
        <v>0.1</v>
      </c>
      <c r="F7" s="43">
        <v>0.1</v>
      </c>
      <c r="G7" s="43">
        <v>0.1</v>
      </c>
      <c r="J7" s="63" t="s">
        <v>121</v>
      </c>
      <c r="K7" s="64"/>
    </row>
    <row r="8" spans="1:11" ht="15">
      <c r="A8" t="s">
        <v>82</v>
      </c>
      <c r="C8" s="44"/>
      <c r="D8" s="43">
        <v>1</v>
      </c>
      <c r="E8" s="43">
        <v>0.5</v>
      </c>
      <c r="F8" s="43">
        <v>0.75</v>
      </c>
      <c r="G8" s="43">
        <v>0.9</v>
      </c>
      <c r="J8" s="57"/>
      <c r="K8" s="58"/>
    </row>
    <row r="9" spans="1:11" ht="15">
      <c r="A9" t="s">
        <v>95</v>
      </c>
      <c r="C9" s="44"/>
      <c r="D9" s="43">
        <v>1</v>
      </c>
      <c r="E9" s="43">
        <v>0.5</v>
      </c>
      <c r="F9" s="43">
        <v>0.75</v>
      </c>
      <c r="G9" s="43">
        <v>1.3</v>
      </c>
      <c r="J9" s="57" t="s">
        <v>122</v>
      </c>
      <c r="K9" s="59">
        <f>C62</f>
        <v>1082400</v>
      </c>
    </row>
    <row r="10" spans="1:11" ht="15">
      <c r="A10" t="s">
        <v>46</v>
      </c>
      <c r="C10" s="43">
        <v>0.03</v>
      </c>
      <c r="D10" s="43">
        <v>0.03</v>
      </c>
      <c r="E10" s="43">
        <v>0.03</v>
      </c>
      <c r="F10" s="43">
        <v>0.03</v>
      </c>
      <c r="G10" s="43">
        <v>0.03</v>
      </c>
      <c r="J10" s="57" t="s">
        <v>123</v>
      </c>
      <c r="K10" s="60">
        <f>C40-(C16+C17+C18)*C40</f>
        <v>10.5</v>
      </c>
    </row>
    <row r="11" spans="1:11" ht="15.75" thickBot="1">
      <c r="A11" t="s">
        <v>125</v>
      </c>
      <c r="C11" s="65">
        <v>250000</v>
      </c>
      <c r="D11" s="65">
        <v>250000</v>
      </c>
      <c r="E11" s="65">
        <v>250000</v>
      </c>
      <c r="F11" s="65">
        <v>250000</v>
      </c>
      <c r="G11" s="65">
        <v>250000</v>
      </c>
      <c r="J11" s="61" t="s">
        <v>140</v>
      </c>
      <c r="K11" s="62">
        <f>K9/K10/52/7/5/8</f>
        <v>7.0800627943485086</v>
      </c>
    </row>
    <row r="12" spans="1:11" ht="15">
      <c r="A12" t="s">
        <v>83</v>
      </c>
      <c r="C12" s="43">
        <v>-0.06</v>
      </c>
      <c r="D12" s="43">
        <v>7.0000000000000007E-2</v>
      </c>
      <c r="E12" s="43">
        <v>7.0000000000000007E-2</v>
      </c>
      <c r="F12" s="43">
        <v>7.0000000000000007E-2</v>
      </c>
      <c r="G12" s="43">
        <v>7.0000000000000007E-2</v>
      </c>
    </row>
    <row r="13" spans="1:11" ht="15">
      <c r="A13" t="s">
        <v>85</v>
      </c>
      <c r="C13" s="65">
        <v>750000</v>
      </c>
      <c r="D13" s="66">
        <v>0.05</v>
      </c>
      <c r="E13" s="66">
        <v>0.05</v>
      </c>
      <c r="F13" s="66">
        <v>0.05</v>
      </c>
      <c r="G13" s="66">
        <v>0.05</v>
      </c>
      <c r="H13" t="s">
        <v>126</v>
      </c>
    </row>
    <row r="14" spans="1:11" ht="15">
      <c r="A14" t="s">
        <v>84</v>
      </c>
      <c r="C14" s="56">
        <v>80000</v>
      </c>
      <c r="D14" s="56">
        <v>80000</v>
      </c>
      <c r="E14" s="56">
        <v>80000</v>
      </c>
      <c r="F14" s="56">
        <v>80000</v>
      </c>
      <c r="G14" s="56">
        <v>80000</v>
      </c>
      <c r="H14" t="s">
        <v>117</v>
      </c>
    </row>
    <row r="15" spans="1:11" ht="15">
      <c r="A15" t="s">
        <v>91</v>
      </c>
      <c r="C15" s="56">
        <f>200*12</f>
        <v>2400</v>
      </c>
      <c r="D15" s="56">
        <f>200*12</f>
        <v>2400</v>
      </c>
      <c r="E15" s="56">
        <f>200*12</f>
        <v>2400</v>
      </c>
      <c r="F15" s="56">
        <f>200*12</f>
        <v>2400</v>
      </c>
      <c r="G15" s="56">
        <f>200*12</f>
        <v>2400</v>
      </c>
      <c r="H15" t="s">
        <v>117</v>
      </c>
    </row>
    <row r="16" spans="1:11" ht="15">
      <c r="A16" t="s">
        <v>73</v>
      </c>
      <c r="C16" s="43">
        <v>0.15</v>
      </c>
      <c r="D16" s="43">
        <v>0.15</v>
      </c>
      <c r="E16" s="43">
        <v>0.15</v>
      </c>
      <c r="F16" s="43">
        <v>0.15</v>
      </c>
      <c r="G16" s="43">
        <v>0.15</v>
      </c>
      <c r="H16">
        <v>20</v>
      </c>
    </row>
    <row r="17" spans="1:8" ht="15">
      <c r="A17" t="s">
        <v>88</v>
      </c>
      <c r="C17" s="43">
        <v>0.1</v>
      </c>
      <c r="D17" s="43">
        <v>0.1</v>
      </c>
      <c r="E17" s="43">
        <v>0.1</v>
      </c>
      <c r="F17" s="43">
        <v>0.1</v>
      </c>
      <c r="G17" s="43">
        <v>0.1</v>
      </c>
      <c r="H17" t="s">
        <v>116</v>
      </c>
    </row>
    <row r="18" spans="1:8" ht="15">
      <c r="A18" t="s">
        <v>3</v>
      </c>
      <c r="C18" s="43">
        <v>0.05</v>
      </c>
      <c r="D18" s="43">
        <v>0.05</v>
      </c>
      <c r="E18" s="43">
        <v>0.05</v>
      </c>
      <c r="F18" s="43">
        <v>0.05</v>
      </c>
      <c r="G18" s="43">
        <v>0.05</v>
      </c>
      <c r="H18" t="s">
        <v>116</v>
      </c>
    </row>
    <row r="19" spans="1:8" ht="15">
      <c r="A19" t="s">
        <v>17</v>
      </c>
      <c r="C19" s="43">
        <v>0.35</v>
      </c>
      <c r="D19" s="43">
        <v>0.35</v>
      </c>
      <c r="E19" s="43">
        <v>0.35</v>
      </c>
      <c r="F19" s="43">
        <v>0.35</v>
      </c>
      <c r="G19" s="43">
        <v>0.35</v>
      </c>
    </row>
    <row r="20" spans="1:8" ht="15">
      <c r="A20" t="s">
        <v>12</v>
      </c>
      <c r="C20" s="56">
        <v>150000</v>
      </c>
      <c r="D20" s="56">
        <v>150000</v>
      </c>
      <c r="E20" s="56">
        <v>150000</v>
      </c>
      <c r="F20" s="56">
        <v>150000</v>
      </c>
      <c r="G20" s="56">
        <v>150000</v>
      </c>
      <c r="H20" s="30" t="s">
        <v>118</v>
      </c>
    </row>
    <row r="21" spans="1:8" ht="15">
      <c r="A21" t="s">
        <v>138</v>
      </c>
      <c r="C21" s="56">
        <v>100000</v>
      </c>
      <c r="D21" s="56">
        <v>100000</v>
      </c>
      <c r="E21" s="56">
        <v>100000</v>
      </c>
      <c r="F21" s="56">
        <v>100000</v>
      </c>
      <c r="G21" s="56">
        <v>100000</v>
      </c>
      <c r="H21" t="s">
        <v>118</v>
      </c>
    </row>
    <row r="22" spans="1:8">
      <c r="A22" t="s">
        <v>80</v>
      </c>
      <c r="B22">
        <v>5</v>
      </c>
      <c r="C22" s="45"/>
      <c r="D22" s="45"/>
      <c r="E22" s="45"/>
      <c r="F22" s="45"/>
      <c r="G22" s="45"/>
      <c r="H22" t="s">
        <v>139</v>
      </c>
    </row>
    <row r="23" spans="1:8">
      <c r="A23" t="s">
        <v>114</v>
      </c>
      <c r="C23" s="55">
        <v>0.1</v>
      </c>
      <c r="D23" s="55">
        <v>0.1</v>
      </c>
      <c r="E23" s="55">
        <v>0.1</v>
      </c>
      <c r="F23" s="55">
        <v>0.1</v>
      </c>
      <c r="G23" s="55">
        <v>0.1</v>
      </c>
      <c r="H23" t="s">
        <v>116</v>
      </c>
    </row>
    <row r="24" spans="1:8">
      <c r="A24" t="s">
        <v>127</v>
      </c>
      <c r="B24" s="30">
        <v>0.3</v>
      </c>
    </row>
    <row r="25" spans="1:8">
      <c r="A25" s="39" t="s">
        <v>105</v>
      </c>
    </row>
    <row r="26" spans="1:8">
      <c r="A26" s="46" t="s">
        <v>103</v>
      </c>
      <c r="B26" s="47">
        <f>MIRR(B85:H85,0.05,0.05)</f>
        <v>0.67542349884410968</v>
      </c>
      <c r="C26" s="34"/>
      <c r="D26" s="34"/>
      <c r="E26" s="72"/>
      <c r="F26" s="34"/>
      <c r="G26" s="48"/>
    </row>
    <row r="27" spans="1:8">
      <c r="A27" s="20" t="s">
        <v>128</v>
      </c>
      <c r="B27" s="37">
        <f>SUM(B89:H89)</f>
        <v>8125834.9709412381</v>
      </c>
      <c r="C27" s="36"/>
      <c r="D27" s="36"/>
      <c r="E27" s="36"/>
      <c r="F27" s="36"/>
      <c r="G27" s="21"/>
    </row>
    <row r="28" spans="1:8">
      <c r="A28" s="20" t="s">
        <v>137</v>
      </c>
      <c r="B28" s="37">
        <f>ABS(SUM(C85:D85))</f>
        <v>729026.42999999993</v>
      </c>
      <c r="C28" s="36"/>
      <c r="D28" s="36"/>
      <c r="E28" s="36"/>
      <c r="F28" s="36"/>
      <c r="G28" s="36"/>
    </row>
    <row r="29" spans="1:8">
      <c r="A29" s="20" t="s">
        <v>141</v>
      </c>
      <c r="B29" s="73">
        <f>SUM(C82:G82)/750000</f>
        <v>10.426870294375783</v>
      </c>
      <c r="C29" s="73">
        <f>C85/750000</f>
        <v>-0.64024000000000003</v>
      </c>
      <c r="D29" s="73">
        <f>D85/750000</f>
        <v>-0.33179523999999994</v>
      </c>
      <c r="E29" s="73">
        <f>E85/750000</f>
        <v>0.75579634122333395</v>
      </c>
      <c r="F29" s="73">
        <f t="shared" ref="F29:G29" si="0">F85/750000</f>
        <v>2.2443500959772313</v>
      </c>
      <c r="G29" s="73">
        <f t="shared" si="0"/>
        <v>6.4316890971752185</v>
      </c>
    </row>
    <row r="30" spans="1:8">
      <c r="A30" s="49" t="s">
        <v>83</v>
      </c>
      <c r="B30" s="50"/>
      <c r="C30" s="50">
        <f>C82/C42</f>
        <v>-0.40571428571428569</v>
      </c>
      <c r="D30" s="50">
        <f>D82/D42</f>
        <v>-5.4393519102256947E-2</v>
      </c>
      <c r="E30" s="50">
        <f>E82/E42</f>
        <v>0.17100466379873314</v>
      </c>
      <c r="F30" s="50">
        <f>F82/F42</f>
        <v>0.24673341273024613</v>
      </c>
      <c r="G30" s="50">
        <f>G82/G42</f>
        <v>0.3035931624800558</v>
      </c>
    </row>
    <row r="34" spans="1:8">
      <c r="B34" s="38" t="s">
        <v>79</v>
      </c>
      <c r="C34" s="38" t="s">
        <v>50</v>
      </c>
      <c r="D34" s="38" t="s">
        <v>49</v>
      </c>
      <c r="E34" s="38" t="s">
        <v>42</v>
      </c>
      <c r="F34" s="38" t="s">
        <v>43</v>
      </c>
      <c r="G34" s="38" t="s">
        <v>45</v>
      </c>
      <c r="H34" s="38" t="s">
        <v>92</v>
      </c>
    </row>
    <row r="36" spans="1:8">
      <c r="A36" t="s">
        <v>69</v>
      </c>
      <c r="C36" s="32">
        <v>150</v>
      </c>
      <c r="D36" s="32">
        <f>C36*(1+D7)</f>
        <v>165</v>
      </c>
      <c r="E36" s="32">
        <f>D36*(1+E7)</f>
        <v>181.50000000000003</v>
      </c>
      <c r="F36" s="32">
        <f>E36*(1+F7)</f>
        <v>199.65000000000003</v>
      </c>
      <c r="G36" s="32">
        <f>F36*(1+G7)</f>
        <v>219.61500000000007</v>
      </c>
    </row>
    <row r="37" spans="1:8">
      <c r="A37" t="s">
        <v>70</v>
      </c>
      <c r="C37" s="32">
        <f>C36*7</f>
        <v>1050</v>
      </c>
      <c r="D37" s="32">
        <f>D36*7</f>
        <v>1155</v>
      </c>
      <c r="E37" s="32">
        <f>E36*7</f>
        <v>1270.5000000000002</v>
      </c>
      <c r="F37" s="32">
        <f>F36*7</f>
        <v>1397.5500000000002</v>
      </c>
      <c r="G37" s="32">
        <f>G36*7</f>
        <v>1537.3050000000005</v>
      </c>
    </row>
    <row r="38" spans="1:8">
      <c r="A38" t="s">
        <v>131</v>
      </c>
      <c r="C38" s="32">
        <v>1</v>
      </c>
      <c r="D38" s="32">
        <f>C38*(1+D8)</f>
        <v>2</v>
      </c>
      <c r="E38" s="32">
        <f>D38*(1+E8)</f>
        <v>3</v>
      </c>
      <c r="F38" s="32">
        <f>E38*(1+F8)</f>
        <v>5.25</v>
      </c>
      <c r="G38" s="32">
        <f>F38*(1+G8)</f>
        <v>9.9749999999999996</v>
      </c>
    </row>
    <row r="39" spans="1:8">
      <c r="A39" t="s">
        <v>94</v>
      </c>
      <c r="C39" s="32">
        <v>0</v>
      </c>
      <c r="D39" s="32">
        <v>0</v>
      </c>
      <c r="E39" s="32">
        <v>5</v>
      </c>
      <c r="F39" s="32">
        <f>E39*(1+F9)</f>
        <v>8.75</v>
      </c>
      <c r="G39" s="32">
        <f>F39*(1+G9)</f>
        <v>20.125</v>
      </c>
    </row>
    <row r="40" spans="1:8">
      <c r="A40" t="s">
        <v>71</v>
      </c>
      <c r="C40" s="32">
        <v>15</v>
      </c>
      <c r="D40" s="32">
        <f>C40*(1+D10)</f>
        <v>15.450000000000001</v>
      </c>
      <c r="E40" s="32">
        <f>D40*(1+E10)</f>
        <v>15.913500000000001</v>
      </c>
      <c r="F40" s="32">
        <f>E40*(1+F10)</f>
        <v>16.390905</v>
      </c>
      <c r="G40" s="32">
        <f>F40*(1+G10)</f>
        <v>16.882632149999999</v>
      </c>
    </row>
    <row r="41" spans="1:8">
      <c r="A41" t="s">
        <v>113</v>
      </c>
      <c r="C41" s="31">
        <f>52*C40*C39*C37*C23</f>
        <v>0</v>
      </c>
      <c r="D41" s="31">
        <f t="shared" ref="D41:G41" si="1">52*D40*D39*D37*D23</f>
        <v>0</v>
      </c>
      <c r="E41" s="31">
        <f t="shared" si="1"/>
        <v>525670.6455000001</v>
      </c>
      <c r="F41" s="31">
        <f t="shared" si="1"/>
        <v>1042273.4723651251</v>
      </c>
      <c r="G41" s="31">
        <f t="shared" si="1"/>
        <v>2716060.4416362806</v>
      </c>
    </row>
    <row r="42" spans="1:8">
      <c r="A42" s="40" t="s">
        <v>68</v>
      </c>
      <c r="B42" s="53">
        <v>0</v>
      </c>
      <c r="C42" s="54">
        <f>52*((C40*C38*C37))+(C39*C21) +C41</f>
        <v>819000</v>
      </c>
      <c r="D42" s="54">
        <f t="shared" ref="D42:G42" si="2">52*((D40*D38*D37))+(D39*D21) +D41</f>
        <v>1855854</v>
      </c>
      <c r="E42" s="54">
        <f t="shared" si="2"/>
        <v>4179694.5185000012</v>
      </c>
      <c r="F42" s="54">
        <f t="shared" si="2"/>
        <v>8170914.3065558756</v>
      </c>
      <c r="G42" s="54">
        <f t="shared" si="2"/>
        <v>18190773.065398712</v>
      </c>
    </row>
    <row r="44" spans="1:8">
      <c r="A44" t="s">
        <v>72</v>
      </c>
    </row>
    <row r="46" spans="1:8">
      <c r="A46" t="s">
        <v>25</v>
      </c>
    </row>
    <row r="47" spans="1:8">
      <c r="A47" t="s">
        <v>74</v>
      </c>
      <c r="C47" s="31">
        <f>C42*(C18)</f>
        <v>40950</v>
      </c>
      <c r="D47" s="31">
        <f>D42*(D18)</f>
        <v>92792.700000000012</v>
      </c>
      <c r="E47" s="31">
        <f>E42*(E18)</f>
        <v>208984.72592500006</v>
      </c>
      <c r="F47" s="31">
        <f>F42*(F18)</f>
        <v>408545.71532779379</v>
      </c>
      <c r="G47" s="31">
        <f>G42*(G18)</f>
        <v>909538.65326993563</v>
      </c>
    </row>
    <row r="48" spans="1:8">
      <c r="A48" t="s">
        <v>75</v>
      </c>
      <c r="C48" s="33">
        <f>C16*C42</f>
        <v>122850</v>
      </c>
      <c r="D48" s="33">
        <f>D16*D42</f>
        <v>278378.09999999998</v>
      </c>
      <c r="E48" s="33">
        <f>E16*E42</f>
        <v>626954.17777500011</v>
      </c>
      <c r="F48" s="33">
        <f>F16*F42</f>
        <v>1225637.1459833812</v>
      </c>
      <c r="G48" s="33">
        <f>G16*G42</f>
        <v>2728615.9598098067</v>
      </c>
    </row>
    <row r="49" spans="1:10">
      <c r="A49" t="s">
        <v>87</v>
      </c>
      <c r="C49" s="33">
        <f>C17*C42</f>
        <v>81900</v>
      </c>
      <c r="D49" s="33">
        <f>D17*D42</f>
        <v>185585.40000000002</v>
      </c>
      <c r="E49" s="33">
        <f>E17*E42</f>
        <v>417969.45185000013</v>
      </c>
      <c r="F49" s="33">
        <f>F17*F42</f>
        <v>817091.43065558758</v>
      </c>
      <c r="G49" s="33">
        <f>G17*G42</f>
        <v>1819077.3065398713</v>
      </c>
    </row>
    <row r="50" spans="1:10">
      <c r="A50" s="40" t="s">
        <v>89</v>
      </c>
      <c r="B50" s="34">
        <v>0</v>
      </c>
      <c r="C50" s="35">
        <f>SUM(C47:C49)</f>
        <v>245700</v>
      </c>
      <c r="D50" s="35">
        <f>SUM(D47:D49)</f>
        <v>556756.19999999995</v>
      </c>
      <c r="E50" s="35">
        <f>SUM(E47:E49)</f>
        <v>1253908.3555500002</v>
      </c>
      <c r="F50" s="35">
        <f>SUM(F47:F49)</f>
        <v>2451274.2919667624</v>
      </c>
      <c r="G50" s="35">
        <f>SUM(G47:G49)</f>
        <v>5457231.9196196143</v>
      </c>
    </row>
    <row r="52" spans="1:10">
      <c r="A52" t="s">
        <v>90</v>
      </c>
      <c r="C52" s="33">
        <f>(C42-C50)</f>
        <v>573300</v>
      </c>
      <c r="D52" s="33">
        <f t="shared" ref="D52:G52" si="3">(D42-D50)</f>
        <v>1299097.8</v>
      </c>
      <c r="E52" s="33">
        <f t="shared" si="3"/>
        <v>2925786.1629500007</v>
      </c>
      <c r="F52" s="33">
        <f t="shared" si="3"/>
        <v>5719640.0145891132</v>
      </c>
      <c r="G52" s="33">
        <f t="shared" si="3"/>
        <v>12733541.145779097</v>
      </c>
    </row>
    <row r="53" spans="1:10">
      <c r="C53" s="33"/>
      <c r="D53" s="33"/>
      <c r="E53" s="33"/>
      <c r="F53" s="33"/>
      <c r="G53" s="33"/>
    </row>
    <row r="54" spans="1:10">
      <c r="A54" t="s">
        <v>130</v>
      </c>
      <c r="C54" s="67">
        <f>(C42-C50)/C42</f>
        <v>0.7</v>
      </c>
      <c r="D54" s="67">
        <f t="shared" ref="D54:G54" si="4">(D42-D50)/D42</f>
        <v>0.70000000000000007</v>
      </c>
      <c r="E54" s="67">
        <f t="shared" si="4"/>
        <v>0.7</v>
      </c>
      <c r="F54" s="67">
        <f t="shared" si="4"/>
        <v>0.70000000000000007</v>
      </c>
      <c r="G54" s="67">
        <f t="shared" si="4"/>
        <v>0.7</v>
      </c>
    </row>
    <row r="55" spans="1:10">
      <c r="C55" s="67"/>
      <c r="D55" s="67"/>
      <c r="E55" s="67"/>
      <c r="F55" s="67"/>
      <c r="G55" s="67"/>
    </row>
    <row r="56" spans="1:10">
      <c r="A56" t="s">
        <v>112</v>
      </c>
    </row>
    <row r="58" spans="1:10">
      <c r="A58" t="s">
        <v>18</v>
      </c>
      <c r="C58" s="33">
        <f>C11*C38</f>
        <v>250000</v>
      </c>
      <c r="D58" s="33">
        <f t="shared" ref="D58:G58" si="5">D11*D38</f>
        <v>500000</v>
      </c>
      <c r="E58" s="33">
        <f t="shared" si="5"/>
        <v>750000</v>
      </c>
      <c r="F58" s="33">
        <f t="shared" si="5"/>
        <v>1312500</v>
      </c>
      <c r="G58" s="33">
        <f t="shared" si="5"/>
        <v>2493750</v>
      </c>
    </row>
    <row r="59" spans="1:10">
      <c r="A59" t="s">
        <v>67</v>
      </c>
      <c r="C59" s="31">
        <f>C15*C38</f>
        <v>2400</v>
      </c>
      <c r="D59" s="31">
        <f>D15*D38</f>
        <v>4800</v>
      </c>
      <c r="E59" s="31">
        <f>E15*E38</f>
        <v>7200</v>
      </c>
      <c r="F59" s="31">
        <f>F15*F38</f>
        <v>12600</v>
      </c>
      <c r="G59" s="31">
        <f>G15*G38</f>
        <v>23940</v>
      </c>
    </row>
    <row r="60" spans="1:10" ht="15.75">
      <c r="A60" t="s">
        <v>23</v>
      </c>
      <c r="C60" s="31">
        <f>$C$14*C38</f>
        <v>80000</v>
      </c>
      <c r="D60" s="31">
        <f>$C$14*D38</f>
        <v>160000</v>
      </c>
      <c r="E60" s="31">
        <f>$C$14*E38</f>
        <v>240000</v>
      </c>
      <c r="F60" s="31">
        <f>$C$14*F38</f>
        <v>420000</v>
      </c>
      <c r="G60" s="31">
        <f>$C$14*G38</f>
        <v>798000</v>
      </c>
      <c r="J60" s="69"/>
    </row>
    <row r="61" spans="1:10" ht="15.75">
      <c r="A61" t="s">
        <v>76</v>
      </c>
      <c r="C61" s="33">
        <v>750000</v>
      </c>
      <c r="D61" s="33">
        <f>C61*(1+D13)</f>
        <v>787500</v>
      </c>
      <c r="E61" s="33">
        <f t="shared" ref="E61:G61" si="6">D61*(1+E13)</f>
        <v>826875</v>
      </c>
      <c r="F61" s="33">
        <f t="shared" si="6"/>
        <v>868218.75</v>
      </c>
      <c r="G61" s="33">
        <f t="shared" si="6"/>
        <v>911629.6875</v>
      </c>
      <c r="J61" s="69"/>
    </row>
    <row r="62" spans="1:10" ht="15.75">
      <c r="A62" s="40" t="s">
        <v>86</v>
      </c>
      <c r="B62" s="34">
        <v>0</v>
      </c>
      <c r="C62" s="35">
        <f>SUM(C58:C61)</f>
        <v>1082400</v>
      </c>
      <c r="D62" s="35">
        <f>SUM(D58:D61)</f>
        <v>1452300</v>
      </c>
      <c r="E62" s="35">
        <f>SUM(E58:E61)</f>
        <v>1824075</v>
      </c>
      <c r="F62" s="35">
        <f>SUM(F58:F61)</f>
        <v>2613318.75</v>
      </c>
      <c r="G62" s="35">
        <f>SUM(G58:G61)</f>
        <v>4227319.6875</v>
      </c>
      <c r="J62" s="69"/>
    </row>
    <row r="63" spans="1:10" ht="15.75">
      <c r="A63" s="36"/>
      <c r="B63" s="36"/>
      <c r="C63" s="37"/>
      <c r="D63" s="37"/>
      <c r="E63" s="37"/>
      <c r="F63" s="37"/>
      <c r="G63" s="37"/>
      <c r="J63" s="69"/>
    </row>
    <row r="64" spans="1:10" ht="15.75">
      <c r="A64" s="68" t="s">
        <v>129</v>
      </c>
      <c r="C64" s="67">
        <f>C62/C42</f>
        <v>1.3216117216117216</v>
      </c>
      <c r="D64" s="67">
        <f t="shared" ref="D64:G64" si="7">D62/D42</f>
        <v>0.78255078255078259</v>
      </c>
      <c r="E64" s="67">
        <f t="shared" si="7"/>
        <v>0.4364134727852359</v>
      </c>
      <c r="F64" s="67">
        <f t="shared" si="7"/>
        <v>0.31983186360224364</v>
      </c>
      <c r="G64" s="67">
        <f t="shared" si="7"/>
        <v>0.23238812733808045</v>
      </c>
      <c r="J64" s="69"/>
    </row>
    <row r="65" spans="1:10" ht="15.75">
      <c r="A65" s="68"/>
      <c r="C65" s="33"/>
      <c r="D65" s="33"/>
      <c r="E65" s="33"/>
      <c r="F65" s="33"/>
      <c r="G65" s="33"/>
      <c r="J65" s="69"/>
    </row>
    <row r="66" spans="1:10" ht="15.75">
      <c r="A66" t="s">
        <v>132</v>
      </c>
      <c r="J66" s="70"/>
    </row>
    <row r="67" spans="1:10" ht="15.75">
      <c r="J67" s="69"/>
    </row>
    <row r="68" spans="1:10" ht="15.75">
      <c r="A68" t="s">
        <v>98</v>
      </c>
      <c r="C68" s="31">
        <f>C20*(C38-B38)</f>
        <v>150000</v>
      </c>
      <c r="D68" s="31">
        <f>D20*(D38-C38)</f>
        <v>150000</v>
      </c>
      <c r="E68" s="31">
        <f>E20*(E38-D38)</f>
        <v>150000</v>
      </c>
      <c r="F68" s="31">
        <f>F20*(F38-E38)</f>
        <v>337500</v>
      </c>
      <c r="G68" s="31">
        <f>G20*(G38-F38)</f>
        <v>708750</v>
      </c>
      <c r="H68" s="31"/>
      <c r="J68" s="69"/>
    </row>
    <row r="69" spans="1:10" ht="15.75">
      <c r="A69" t="s">
        <v>77</v>
      </c>
      <c r="C69" s="31">
        <f>500*C38</f>
        <v>500</v>
      </c>
      <c r="D69" s="31">
        <f>500*D38</f>
        <v>1000</v>
      </c>
      <c r="E69" s="31">
        <f>500*E38</f>
        <v>1500</v>
      </c>
      <c r="F69" s="31">
        <f>500*F38</f>
        <v>2625</v>
      </c>
      <c r="G69" s="31">
        <f>500*G38</f>
        <v>4987.5</v>
      </c>
      <c r="J69" s="69"/>
    </row>
    <row r="70" spans="1:10" ht="15.75">
      <c r="A70" t="s">
        <v>78</v>
      </c>
      <c r="C70" s="31">
        <v>50000</v>
      </c>
      <c r="D70" s="31">
        <v>50000</v>
      </c>
      <c r="E70" s="31">
        <v>50000</v>
      </c>
      <c r="F70" s="31">
        <v>50000</v>
      </c>
      <c r="G70" s="31">
        <v>50000</v>
      </c>
      <c r="J70" s="69"/>
    </row>
    <row r="71" spans="1:10" ht="15.75">
      <c r="J71" s="69"/>
    </row>
    <row r="72" spans="1:10">
      <c r="A72" s="39" t="s">
        <v>93</v>
      </c>
      <c r="B72" s="35"/>
      <c r="C72" s="35">
        <f>SUM(C68:C70)</f>
        <v>200500</v>
      </c>
      <c r="D72" s="35">
        <f t="shared" ref="D72:F72" si="8">SUM(D68:D70)</f>
        <v>201000</v>
      </c>
      <c r="E72" s="35">
        <f t="shared" si="8"/>
        <v>201500</v>
      </c>
      <c r="F72" s="35">
        <f t="shared" si="8"/>
        <v>390125</v>
      </c>
      <c r="G72" s="35">
        <f>SUM(G68:G70)</f>
        <v>763737.5</v>
      </c>
      <c r="J72" s="71"/>
    </row>
    <row r="73" spans="1:10">
      <c r="J73" s="36"/>
    </row>
    <row r="74" spans="1:10">
      <c r="A74" t="s">
        <v>96</v>
      </c>
      <c r="B74" s="33"/>
      <c r="C74" s="33">
        <f t="shared" ref="C74:G74" si="9">C52-C62</f>
        <v>-509100</v>
      </c>
      <c r="D74" s="33">
        <f t="shared" si="9"/>
        <v>-153202.19999999995</v>
      </c>
      <c r="E74" s="33">
        <f t="shared" si="9"/>
        <v>1101711.1629500007</v>
      </c>
      <c r="F74" s="33">
        <f t="shared" si="9"/>
        <v>3106321.2645891132</v>
      </c>
      <c r="G74" s="33">
        <f t="shared" si="9"/>
        <v>8506221.4582790975</v>
      </c>
      <c r="J74" s="36"/>
    </row>
    <row r="75" spans="1:10">
      <c r="J75" s="36"/>
    </row>
    <row r="76" spans="1:10">
      <c r="A76" t="s">
        <v>97</v>
      </c>
      <c r="C76" s="31">
        <f>0.07*C68/5</f>
        <v>2100.0000000000005</v>
      </c>
      <c r="D76" s="31">
        <f>0.07*D68/5</f>
        <v>2100.0000000000005</v>
      </c>
      <c r="E76" s="31">
        <f>0.07*E68/5</f>
        <v>2100.0000000000005</v>
      </c>
      <c r="F76" s="31">
        <f>0.07*F68/5</f>
        <v>4725.0000000000009</v>
      </c>
      <c r="G76" s="31">
        <f>0.07*G68/5</f>
        <v>9922.5000000000018</v>
      </c>
      <c r="J76" s="36"/>
    </row>
    <row r="77" spans="1:10">
      <c r="J77" s="37"/>
    </row>
    <row r="78" spans="1:10">
      <c r="A78" t="s">
        <v>135</v>
      </c>
      <c r="C78" s="33">
        <f>C74-C76</f>
        <v>-511200</v>
      </c>
      <c r="D78" s="33">
        <f t="shared" ref="D78:G78" si="10">D74-D76</f>
        <v>-155302.19999999995</v>
      </c>
      <c r="E78" s="33">
        <f t="shared" si="10"/>
        <v>1099611.1629500007</v>
      </c>
      <c r="F78" s="33">
        <f t="shared" si="10"/>
        <v>3101596.2645891132</v>
      </c>
      <c r="G78" s="33">
        <f t="shared" si="10"/>
        <v>8496298.9582790975</v>
      </c>
    </row>
    <row r="79" spans="1:10">
      <c r="A79" t="s">
        <v>133</v>
      </c>
    </row>
    <row r="80" spans="1:10">
      <c r="A80" t="s">
        <v>99</v>
      </c>
      <c r="C80" s="33">
        <f>C78*C19</f>
        <v>-178920</v>
      </c>
      <c r="D80" s="33">
        <f>D78*D19</f>
        <v>-54355.769999999982</v>
      </c>
      <c r="E80" s="33">
        <f>E78*E19</f>
        <v>384863.90703250025</v>
      </c>
      <c r="F80" s="33">
        <f>F78*F19</f>
        <v>1085558.6926061895</v>
      </c>
      <c r="G80" s="33">
        <f>G78*G19</f>
        <v>2973704.6353976838</v>
      </c>
    </row>
    <row r="82" spans="1:8">
      <c r="A82" t="s">
        <v>6</v>
      </c>
      <c r="C82" s="33">
        <f>C78-C80</f>
        <v>-332280</v>
      </c>
      <c r="D82" s="33">
        <f>D78-D80</f>
        <v>-100946.42999999996</v>
      </c>
      <c r="E82" s="33">
        <f>E78-E80</f>
        <v>714747.25591750047</v>
      </c>
      <c r="F82" s="33">
        <f>F78-F80</f>
        <v>2016037.5719829237</v>
      </c>
      <c r="G82" s="33">
        <f>G78-G80</f>
        <v>5522594.3228814136</v>
      </c>
    </row>
    <row r="83" spans="1:8">
      <c r="A83" t="s">
        <v>59</v>
      </c>
      <c r="C83" s="33">
        <f>C76</f>
        <v>2100.0000000000005</v>
      </c>
      <c r="D83" s="33">
        <f>D76</f>
        <v>2100.0000000000005</v>
      </c>
      <c r="E83" s="33">
        <f>E76</f>
        <v>2100.0000000000005</v>
      </c>
      <c r="F83" s="33">
        <f>F76</f>
        <v>4725.0000000000009</v>
      </c>
      <c r="G83" s="33">
        <f>G76</f>
        <v>9922.5000000000018</v>
      </c>
    </row>
    <row r="84" spans="1:8">
      <c r="A84" t="s">
        <v>100</v>
      </c>
      <c r="B84" s="42"/>
      <c r="C84" s="33">
        <f>C68</f>
        <v>150000</v>
      </c>
      <c r="D84" s="33">
        <f>D68</f>
        <v>150000</v>
      </c>
      <c r="E84" s="33">
        <f>E68</f>
        <v>150000</v>
      </c>
      <c r="F84" s="33">
        <f>F68</f>
        <v>337500</v>
      </c>
      <c r="G84" s="33">
        <f>G68</f>
        <v>708750</v>
      </c>
    </row>
    <row r="85" spans="1:8">
      <c r="A85" s="34" t="s">
        <v>101</v>
      </c>
      <c r="B85" s="31">
        <v>-750000</v>
      </c>
      <c r="C85" s="35">
        <f>C82+C83-C84</f>
        <v>-480180</v>
      </c>
      <c r="D85" s="35">
        <f>D82+D83-D84</f>
        <v>-248846.42999999996</v>
      </c>
      <c r="E85" s="35">
        <f>E82+E83-E84</f>
        <v>566847.25591750047</v>
      </c>
      <c r="F85" s="35">
        <f>F82+F83-F84</f>
        <v>1683262.5719829237</v>
      </c>
      <c r="G85" s="35">
        <f>G82+G83-G84</f>
        <v>4823766.8228814136</v>
      </c>
      <c r="H85" s="33">
        <f>$B$22*G85</f>
        <v>24118834.11440707</v>
      </c>
    </row>
    <row r="87" spans="1:8">
      <c r="A87" t="s">
        <v>119</v>
      </c>
      <c r="B87">
        <v>0</v>
      </c>
      <c r="C87" s="33">
        <v>1</v>
      </c>
      <c r="D87" s="33">
        <v>2</v>
      </c>
      <c r="E87" s="33">
        <v>3</v>
      </c>
      <c r="F87" s="33">
        <v>4</v>
      </c>
      <c r="G87" s="33">
        <v>5</v>
      </c>
    </row>
    <row r="89" spans="1:8">
      <c r="A89" t="s">
        <v>120</v>
      </c>
      <c r="B89" s="31"/>
      <c r="C89" s="31">
        <f t="shared" ref="C89:G89" si="11">C85/(1+$B$24)^C87</f>
        <v>-369369.23076923075</v>
      </c>
      <c r="D89" s="31">
        <f t="shared" si="11"/>
        <v>-147246.40828402364</v>
      </c>
      <c r="E89" s="31">
        <f t="shared" si="11"/>
        <v>258009.67497382811</v>
      </c>
      <c r="F89" s="31">
        <f t="shared" si="11"/>
        <v>589357.01550468244</v>
      </c>
      <c r="G89" s="31">
        <f t="shared" si="11"/>
        <v>1299180.6532526636</v>
      </c>
      <c r="H89" s="31">
        <f>H85/(1+$B$24)^5</f>
        <v>6495903.2662633182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25"/>
  <sheetViews>
    <sheetView zoomScale="90" zoomScaleNormal="90" workbookViewId="0">
      <selection activeCell="D36" sqref="D36"/>
    </sheetView>
  </sheetViews>
  <sheetFormatPr defaultRowHeight="12.75"/>
  <cols>
    <col min="1" max="1" width="11.42578125" customWidth="1"/>
  </cols>
  <sheetData>
    <row r="2" spans="1:15">
      <c r="A2" t="s">
        <v>54</v>
      </c>
    </row>
    <row r="4" spans="1:15">
      <c r="A4" t="s">
        <v>51</v>
      </c>
      <c r="B4" t="s">
        <v>52</v>
      </c>
      <c r="C4" s="15">
        <v>9.75</v>
      </c>
      <c r="D4">
        <f>C4/75</f>
        <v>0.13</v>
      </c>
      <c r="F4" t="s">
        <v>53</v>
      </c>
    </row>
    <row r="6" spans="1:15" ht="13.5" customHeight="1">
      <c r="O6" s="16"/>
    </row>
    <row r="7" spans="1:15">
      <c r="A7" s="25" t="s">
        <v>65</v>
      </c>
      <c r="B7" s="26" t="s">
        <v>66</v>
      </c>
      <c r="O7" s="17"/>
    </row>
    <row r="8" spans="1:15">
      <c r="A8" s="20" t="s">
        <v>3</v>
      </c>
      <c r="B8" s="27">
        <v>0.13</v>
      </c>
      <c r="O8" s="17"/>
    </row>
    <row r="9" spans="1:15">
      <c r="A9" s="20" t="s">
        <v>55</v>
      </c>
      <c r="B9" s="27">
        <v>0</v>
      </c>
      <c r="O9" s="17"/>
    </row>
    <row r="10" spans="1:15">
      <c r="A10" s="20" t="s">
        <v>41</v>
      </c>
      <c r="B10" s="27">
        <f>0.3*0.5</f>
        <v>0.15</v>
      </c>
      <c r="O10" s="18"/>
    </row>
    <row r="11" spans="1:15">
      <c r="A11" s="20" t="s">
        <v>56</v>
      </c>
      <c r="B11" s="27">
        <f>0.07*0.25</f>
        <v>1.7500000000000002E-2</v>
      </c>
      <c r="O11" s="17"/>
    </row>
    <row r="12" spans="1:15">
      <c r="A12" s="20" t="s">
        <v>57</v>
      </c>
      <c r="B12" s="27">
        <v>0.12</v>
      </c>
      <c r="O12" s="19"/>
    </row>
    <row r="13" spans="1:15">
      <c r="A13" s="20" t="s">
        <v>58</v>
      </c>
      <c r="B13" s="27">
        <f>0.04*0.25</f>
        <v>0.01</v>
      </c>
      <c r="O13" s="17"/>
    </row>
    <row r="14" spans="1:15">
      <c r="A14" s="22" t="s">
        <v>61</v>
      </c>
      <c r="B14" s="28">
        <f>SUM(B8:B13)</f>
        <v>0.42750000000000005</v>
      </c>
      <c r="O14" s="19"/>
    </row>
    <row r="15" spans="1:15">
      <c r="A15" s="20"/>
      <c r="B15" s="21"/>
      <c r="O15" s="17"/>
    </row>
    <row r="16" spans="1:15">
      <c r="A16" s="20" t="s">
        <v>18</v>
      </c>
      <c r="B16" s="23">
        <v>0.18</v>
      </c>
      <c r="O16" s="19"/>
    </row>
    <row r="17" spans="1:15">
      <c r="A17" s="20" t="s">
        <v>23</v>
      </c>
      <c r="B17" s="23">
        <v>0.13</v>
      </c>
      <c r="O17" s="17"/>
    </row>
    <row r="18" spans="1:15">
      <c r="A18" s="20" t="s">
        <v>60</v>
      </c>
      <c r="B18" s="23">
        <v>0.2</v>
      </c>
      <c r="O18" s="19"/>
    </row>
    <row r="19" spans="1:15">
      <c r="A19" s="20" t="s">
        <v>17</v>
      </c>
      <c r="B19" s="23">
        <v>0.12</v>
      </c>
      <c r="O19" s="17"/>
    </row>
    <row r="20" spans="1:15">
      <c r="A20" s="20"/>
      <c r="B20" s="21"/>
      <c r="O20" s="19"/>
    </row>
    <row r="21" spans="1:15">
      <c r="A21" s="20" t="s">
        <v>62</v>
      </c>
      <c r="B21" s="27">
        <f>B14*(1+B16+B17+B18+B19)</f>
        <v>0.69682500000000003</v>
      </c>
      <c r="O21" s="17"/>
    </row>
    <row r="22" spans="1:15">
      <c r="A22" s="20"/>
      <c r="B22" s="27"/>
      <c r="O22" s="19"/>
    </row>
    <row r="23" spans="1:15">
      <c r="A23" s="20" t="s">
        <v>63</v>
      </c>
      <c r="B23" s="27">
        <v>3</v>
      </c>
      <c r="O23" s="17"/>
    </row>
    <row r="24" spans="1:15">
      <c r="A24" s="20"/>
      <c r="B24" s="27"/>
      <c r="O24" s="18"/>
    </row>
    <row r="25" spans="1:15">
      <c r="A25" s="24" t="s">
        <v>64</v>
      </c>
      <c r="B25" s="29">
        <f>B23-B21</f>
        <v>2.303175</v>
      </c>
      <c r="D25">
        <f>(3-0.43)/3</f>
        <v>0.85666666666666658</v>
      </c>
      <c r="O25" s="17"/>
    </row>
    <row r="26" spans="1:15">
      <c r="O26" s="18"/>
    </row>
    <row r="27" spans="1:15">
      <c r="D27" s="41">
        <f>B25*D25</f>
        <v>1.9730532499999998</v>
      </c>
      <c r="F27">
        <f>B14/B23</f>
        <v>0.14250000000000002</v>
      </c>
      <c r="O27" s="17"/>
    </row>
    <row r="28" spans="1:15">
      <c r="O28" s="18"/>
    </row>
    <row r="29" spans="1:15">
      <c r="O29" s="17"/>
    </row>
    <row r="30" spans="1:15">
      <c r="O30" s="18"/>
    </row>
    <row r="31" spans="1:15">
      <c r="O31" s="17"/>
    </row>
    <row r="32" spans="1:15">
      <c r="O32" s="18"/>
    </row>
    <row r="33" spans="15:15">
      <c r="O33" s="17"/>
    </row>
    <row r="34" spans="15:15">
      <c r="O34" s="18"/>
    </row>
    <row r="35" spans="15:15">
      <c r="O35" s="17"/>
    </row>
    <row r="36" spans="15:15">
      <c r="O36" s="18"/>
    </row>
    <row r="37" spans="15:15">
      <c r="O37" s="17"/>
    </row>
    <row r="38" spans="15:15">
      <c r="O38" s="18"/>
    </row>
    <row r="39" spans="15:15">
      <c r="O39" s="17"/>
    </row>
    <row r="40" spans="15:15">
      <c r="O40" s="18"/>
    </row>
    <row r="41" spans="15:15">
      <c r="O41" s="17"/>
    </row>
    <row r="42" spans="15:15">
      <c r="O42" s="18"/>
    </row>
    <row r="43" spans="15:15">
      <c r="O43" s="17"/>
    </row>
    <row r="44" spans="15:15">
      <c r="O44" s="18"/>
    </row>
    <row r="45" spans="15:15">
      <c r="O45" s="17"/>
    </row>
    <row r="46" spans="15:15">
      <c r="O46" s="18"/>
    </row>
    <row r="47" spans="15:15">
      <c r="O47" s="17"/>
    </row>
    <row r="48" spans="15:15">
      <c r="O48" s="18"/>
    </row>
    <row r="49" spans="15:15">
      <c r="O49" s="17"/>
    </row>
    <row r="50" spans="15:15">
      <c r="O50" s="18"/>
    </row>
    <row r="51" spans="15:15">
      <c r="O51" s="17"/>
    </row>
    <row r="52" spans="15:15">
      <c r="O52" s="18"/>
    </row>
    <row r="53" spans="15:15">
      <c r="O53" s="17"/>
    </row>
    <row r="54" spans="15:15">
      <c r="O54" s="18"/>
    </row>
    <row r="55" spans="15:15">
      <c r="O55" s="17"/>
    </row>
    <row r="56" spans="15:15">
      <c r="O56" s="18"/>
    </row>
    <row r="57" spans="15:15">
      <c r="O57" s="17"/>
    </row>
    <row r="58" spans="15:15">
      <c r="O58" s="18"/>
    </row>
    <row r="59" spans="15:15">
      <c r="O59" s="17"/>
    </row>
    <row r="60" spans="15:15">
      <c r="O60" s="18"/>
    </row>
    <row r="61" spans="15:15">
      <c r="O61" s="17"/>
    </row>
    <row r="62" spans="15:15">
      <c r="O62" s="18"/>
    </row>
    <row r="63" spans="15:15">
      <c r="O63" s="17"/>
    </row>
    <row r="64" spans="15:15">
      <c r="O64" s="18"/>
    </row>
    <row r="65" spans="15:15">
      <c r="O65" s="17"/>
    </row>
    <row r="66" spans="15:15">
      <c r="O66" s="18"/>
    </row>
    <row r="67" spans="15:15">
      <c r="O67" s="17"/>
    </row>
    <row r="68" spans="15:15">
      <c r="O68" s="19"/>
    </row>
    <row r="69" spans="15:15">
      <c r="O69" s="17"/>
    </row>
    <row r="70" spans="15:15">
      <c r="O70" s="19"/>
    </row>
    <row r="71" spans="15:15">
      <c r="O71" s="17"/>
    </row>
    <row r="72" spans="15:15">
      <c r="O72" s="18"/>
    </row>
    <row r="73" spans="15:15">
      <c r="O73" s="17"/>
    </row>
    <row r="74" spans="15:15">
      <c r="O74" s="18"/>
    </row>
    <row r="75" spans="15:15">
      <c r="O75" s="17"/>
    </row>
    <row r="76" spans="15:15">
      <c r="O76" s="18"/>
    </row>
    <row r="77" spans="15:15">
      <c r="O77" s="17"/>
    </row>
    <row r="78" spans="15:15">
      <c r="O78" s="18"/>
    </row>
    <row r="79" spans="15:15">
      <c r="O79" s="17"/>
    </row>
    <row r="80" spans="15:15">
      <c r="O80" s="18"/>
    </row>
    <row r="81" spans="15:15">
      <c r="O81" s="17"/>
    </row>
    <row r="82" spans="15:15">
      <c r="O82" s="18"/>
    </row>
    <row r="83" spans="15:15">
      <c r="O83" s="17"/>
    </row>
    <row r="84" spans="15:15">
      <c r="O84" s="18"/>
    </row>
    <row r="85" spans="15:15">
      <c r="O85" s="17"/>
    </row>
    <row r="86" spans="15:15">
      <c r="O86" s="18"/>
    </row>
    <row r="87" spans="15:15">
      <c r="O87" s="17"/>
    </row>
    <row r="88" spans="15:15">
      <c r="O88" s="18"/>
    </row>
    <row r="89" spans="15:15">
      <c r="O89" s="17"/>
    </row>
    <row r="90" spans="15:15">
      <c r="O90" s="18"/>
    </row>
    <row r="91" spans="15:15">
      <c r="O91" s="17"/>
    </row>
    <row r="92" spans="15:15">
      <c r="O92" s="18"/>
    </row>
    <row r="93" spans="15:15">
      <c r="O93" s="17"/>
    </row>
    <row r="94" spans="15:15">
      <c r="O94" s="18"/>
    </row>
    <row r="95" spans="15:15">
      <c r="O95" s="17"/>
    </row>
    <row r="96" spans="15:15">
      <c r="O96" s="18"/>
    </row>
    <row r="97" spans="15:15">
      <c r="O97" s="17"/>
    </row>
    <row r="98" spans="15:15">
      <c r="O98" s="18"/>
    </row>
    <row r="99" spans="15:15">
      <c r="O99" s="17"/>
    </row>
    <row r="100" spans="15:15">
      <c r="O100" s="18"/>
    </row>
    <row r="101" spans="15:15">
      <c r="O101" s="17"/>
    </row>
    <row r="102" spans="15:15">
      <c r="O102" s="18"/>
    </row>
    <row r="103" spans="15:15">
      <c r="O103" s="17"/>
    </row>
    <row r="104" spans="15:15">
      <c r="O104" s="18"/>
    </row>
    <row r="105" spans="15:15">
      <c r="O105" s="17"/>
    </row>
    <row r="106" spans="15:15">
      <c r="O106" s="18"/>
    </row>
    <row r="107" spans="15:15">
      <c r="O107" s="17"/>
    </row>
    <row r="108" spans="15:15">
      <c r="O108" s="18"/>
    </row>
    <row r="109" spans="15:15">
      <c r="O109" s="17"/>
    </row>
    <row r="110" spans="15:15">
      <c r="O110" s="18"/>
    </row>
    <row r="111" spans="15:15">
      <c r="O111" s="17"/>
    </row>
    <row r="112" spans="15:15">
      <c r="O112" s="18"/>
    </row>
    <row r="113" spans="15:15">
      <c r="O113" s="17"/>
    </row>
    <row r="114" spans="15:15">
      <c r="O114" s="18"/>
    </row>
    <row r="115" spans="15:15">
      <c r="O115" s="17"/>
    </row>
    <row r="116" spans="15:15">
      <c r="O116" s="18"/>
    </row>
    <row r="117" spans="15:15">
      <c r="O117" s="17"/>
    </row>
    <row r="118" spans="15:15">
      <c r="O118" s="18"/>
    </row>
    <row r="119" spans="15:15">
      <c r="O119" s="17"/>
    </row>
    <row r="120" spans="15:15">
      <c r="O120" s="18"/>
    </row>
    <row r="121" spans="15:15">
      <c r="O121" s="17"/>
    </row>
    <row r="122" spans="15:15">
      <c r="O122" s="18"/>
    </row>
    <row r="123" spans="15:15">
      <c r="O123" s="17"/>
    </row>
    <row r="124" spans="15:15">
      <c r="O124" s="18"/>
    </row>
    <row r="125" spans="15:15">
      <c r="O125" s="17"/>
    </row>
    <row r="126" spans="15:15">
      <c r="O126" s="18"/>
    </row>
    <row r="127" spans="15:15">
      <c r="O127" s="17"/>
    </row>
    <row r="128" spans="15:15">
      <c r="O128" s="18"/>
    </row>
    <row r="129" spans="15:15">
      <c r="O129" s="17"/>
    </row>
    <row r="130" spans="15:15">
      <c r="O130" s="18"/>
    </row>
    <row r="131" spans="15:15">
      <c r="O131" s="17"/>
    </row>
    <row r="132" spans="15:15">
      <c r="O132" s="18"/>
    </row>
    <row r="133" spans="15:15">
      <c r="O133" s="17"/>
    </row>
    <row r="134" spans="15:15">
      <c r="O134" s="18"/>
    </row>
    <row r="135" spans="15:15">
      <c r="O135" s="17"/>
    </row>
    <row r="136" spans="15:15">
      <c r="O136" s="18"/>
    </row>
    <row r="137" spans="15:15">
      <c r="O137" s="17"/>
    </row>
    <row r="138" spans="15:15">
      <c r="O138" s="18"/>
    </row>
    <row r="139" spans="15:15">
      <c r="O139" s="17"/>
    </row>
    <row r="140" spans="15:15">
      <c r="O140" s="18"/>
    </row>
    <row r="141" spans="15:15">
      <c r="O141" s="17"/>
    </row>
    <row r="142" spans="15:15">
      <c r="O142" s="18"/>
    </row>
    <row r="143" spans="15:15">
      <c r="O143" s="17"/>
    </row>
    <row r="144" spans="15:15">
      <c r="O144" s="18"/>
    </row>
    <row r="145" spans="15:15">
      <c r="O145" s="17"/>
    </row>
    <row r="146" spans="15:15">
      <c r="O146" s="18"/>
    </row>
    <row r="147" spans="15:15">
      <c r="O147" s="17"/>
    </row>
    <row r="148" spans="15:15">
      <c r="O148" s="18"/>
    </row>
    <row r="149" spans="15:15">
      <c r="O149" s="17"/>
    </row>
    <row r="150" spans="15:15">
      <c r="O150" s="18"/>
    </row>
    <row r="151" spans="15:15">
      <c r="O151" s="17"/>
    </row>
    <row r="152" spans="15:15">
      <c r="O152" s="18"/>
    </row>
    <row r="153" spans="15:15">
      <c r="O153" s="17"/>
    </row>
    <row r="154" spans="15:15">
      <c r="O154" s="18"/>
    </row>
    <row r="155" spans="15:15">
      <c r="O155" s="17"/>
    </row>
    <row r="156" spans="15:15">
      <c r="O156" s="18"/>
    </row>
    <row r="157" spans="15:15">
      <c r="O157" s="17"/>
    </row>
    <row r="158" spans="15:15">
      <c r="O158" s="18"/>
    </row>
    <row r="159" spans="15:15">
      <c r="O159" s="17"/>
    </row>
    <row r="160" spans="15:15">
      <c r="O160" s="18"/>
    </row>
    <row r="161" spans="15:15">
      <c r="O161" s="17"/>
    </row>
    <row r="162" spans="15:15">
      <c r="O162" s="18"/>
    </row>
    <row r="163" spans="15:15">
      <c r="O163" s="17"/>
    </row>
    <row r="164" spans="15:15">
      <c r="O164" s="18"/>
    </row>
    <row r="165" spans="15:15">
      <c r="O165" s="17"/>
    </row>
    <row r="166" spans="15:15">
      <c r="O166" s="18"/>
    </row>
    <row r="167" spans="15:15">
      <c r="O167" s="17"/>
    </row>
    <row r="168" spans="15:15">
      <c r="O168" s="18"/>
    </row>
    <row r="169" spans="15:15">
      <c r="O169" s="17"/>
    </row>
    <row r="170" spans="15:15">
      <c r="O170" s="18"/>
    </row>
    <row r="171" spans="15:15">
      <c r="O171" s="17"/>
    </row>
    <row r="172" spans="15:15">
      <c r="O172" s="18"/>
    </row>
    <row r="173" spans="15:15">
      <c r="O173" s="17"/>
    </row>
    <row r="174" spans="15:15">
      <c r="O174" s="18"/>
    </row>
    <row r="175" spans="15:15">
      <c r="O175" s="17"/>
    </row>
    <row r="176" spans="15:15">
      <c r="O176" s="18"/>
    </row>
    <row r="177" spans="15:15">
      <c r="O177" s="17"/>
    </row>
    <row r="178" spans="15:15">
      <c r="O178" s="18"/>
    </row>
    <row r="179" spans="15:15">
      <c r="O179" s="17"/>
    </row>
    <row r="180" spans="15:15">
      <c r="O180" s="18"/>
    </row>
    <row r="181" spans="15:15">
      <c r="O181" s="17"/>
    </row>
    <row r="182" spans="15:15">
      <c r="O182" s="18"/>
    </row>
    <row r="183" spans="15:15">
      <c r="O183" s="17"/>
    </row>
    <row r="184" spans="15:15">
      <c r="O184" s="18"/>
    </row>
    <row r="185" spans="15:15">
      <c r="O185" s="17"/>
    </row>
    <row r="186" spans="15:15">
      <c r="O186" s="18"/>
    </row>
    <row r="187" spans="15:15">
      <c r="O187" s="17"/>
    </row>
    <row r="188" spans="15:15">
      <c r="O188" s="18"/>
    </row>
    <row r="189" spans="15:15">
      <c r="O189" s="17"/>
    </row>
    <row r="190" spans="15:15">
      <c r="O190" s="18"/>
    </row>
    <row r="191" spans="15:15">
      <c r="O191" s="17"/>
    </row>
    <row r="192" spans="15:15">
      <c r="O192" s="18"/>
    </row>
    <row r="193" spans="15:15">
      <c r="O193" s="17"/>
    </row>
    <row r="194" spans="15:15">
      <c r="O194" s="18"/>
    </row>
    <row r="195" spans="15:15">
      <c r="O195" s="17"/>
    </row>
    <row r="196" spans="15:15">
      <c r="O196" s="17"/>
    </row>
    <row r="197" spans="15:15">
      <c r="O197" s="18"/>
    </row>
    <row r="198" spans="15:15">
      <c r="O198" s="17"/>
    </row>
    <row r="199" spans="15:15">
      <c r="O199" s="18"/>
    </row>
    <row r="200" spans="15:15">
      <c r="O200" s="17"/>
    </row>
    <row r="201" spans="15:15">
      <c r="O201" s="18"/>
    </row>
    <row r="202" spans="15:15">
      <c r="O202" s="17"/>
    </row>
    <row r="203" spans="15:15">
      <c r="O203" s="18"/>
    </row>
    <row r="204" spans="15:15">
      <c r="O204" s="17"/>
    </row>
    <row r="205" spans="15:15">
      <c r="O205" s="17"/>
    </row>
    <row r="206" spans="15:15">
      <c r="O206" s="18"/>
    </row>
    <row r="207" spans="15:15">
      <c r="O207" s="17"/>
    </row>
    <row r="208" spans="15:15">
      <c r="O208" s="18"/>
    </row>
    <row r="209" spans="15:15">
      <c r="O209" s="17"/>
    </row>
    <row r="210" spans="15:15">
      <c r="O210" s="18"/>
    </row>
    <row r="211" spans="15:15">
      <c r="O211" s="17"/>
    </row>
    <row r="212" spans="15:15">
      <c r="O212" s="18"/>
    </row>
    <row r="213" spans="15:15">
      <c r="O213" s="17"/>
    </row>
    <row r="214" spans="15:15">
      <c r="O214" s="17"/>
    </row>
    <row r="215" spans="15:15">
      <c r="O215" s="18"/>
    </row>
    <row r="216" spans="15:15">
      <c r="O216" s="17"/>
    </row>
    <row r="217" spans="15:15">
      <c r="O217" s="18"/>
    </row>
    <row r="218" spans="15:15">
      <c r="O218" s="17"/>
    </row>
    <row r="219" spans="15:15">
      <c r="O219" s="18"/>
    </row>
    <row r="220" spans="15:15">
      <c r="O220" s="17"/>
    </row>
    <row r="221" spans="15:15">
      <c r="O221" s="18"/>
    </row>
    <row r="222" spans="15:15">
      <c r="O222" s="17"/>
    </row>
    <row r="223" spans="15:15">
      <c r="O223" s="18"/>
    </row>
    <row r="224" spans="15:15">
      <c r="O224" s="17"/>
    </row>
    <row r="225" spans="15:15">
      <c r="O225" s="18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43" sqref="G43"/>
    </sheetView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0" sqref="F40"/>
    </sheetView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9" sqref="G39"/>
    </sheetView>
  </sheetViews>
  <sheetFormatPr defaultRowHeight="12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H25"/>
  <sheetViews>
    <sheetView zoomScaleNormal="100" workbookViewId="0">
      <selection activeCell="G4" sqref="G4"/>
    </sheetView>
  </sheetViews>
  <sheetFormatPr defaultColWidth="11.42578125" defaultRowHeight="15" customHeight="1"/>
  <cols>
    <col min="1" max="1" width="6.28515625" customWidth="1"/>
    <col min="2" max="2" width="28.5703125" customWidth="1"/>
    <col min="3" max="6" width="12.5703125" customWidth="1"/>
    <col min="7" max="7" width="13.7109375" customWidth="1"/>
    <col min="8" max="8" width="29" customWidth="1"/>
  </cols>
  <sheetData>
    <row r="1" spans="2:8" ht="18">
      <c r="B1" s="1" t="s">
        <v>4</v>
      </c>
    </row>
    <row r="2" spans="2:8" ht="15" customHeight="1">
      <c r="C2" s="2" t="s">
        <v>50</v>
      </c>
      <c r="D2" s="2" t="s">
        <v>49</v>
      </c>
      <c r="E2" s="2" t="s">
        <v>42</v>
      </c>
      <c r="F2" s="2" t="s">
        <v>43</v>
      </c>
      <c r="G2" s="2" t="s">
        <v>45</v>
      </c>
      <c r="H2" s="3" t="s">
        <v>35</v>
      </c>
    </row>
    <row r="3" spans="2:8" ht="15" customHeight="1">
      <c r="B3" s="4" t="s">
        <v>33</v>
      </c>
    </row>
    <row r="4" spans="2:8" ht="15" customHeight="1">
      <c r="B4" s="5" t="s">
        <v>21</v>
      </c>
      <c r="C4" s="5">
        <v>200</v>
      </c>
      <c r="D4" s="6">
        <f>C4*1.1</f>
        <v>220.00000000000003</v>
      </c>
      <c r="E4" s="6">
        <f>D4*1.1</f>
        <v>242.00000000000006</v>
      </c>
      <c r="F4" s="6">
        <f>E4*1.1</f>
        <v>266.2000000000001</v>
      </c>
      <c r="G4" s="6">
        <f>F4*1.1</f>
        <v>292.82000000000016</v>
      </c>
      <c r="H4" s="5" t="s">
        <v>2</v>
      </c>
    </row>
    <row r="5" spans="2:8" ht="15" customHeight="1">
      <c r="B5" s="5" t="s">
        <v>34</v>
      </c>
      <c r="C5" s="7">
        <f>C4*7</f>
        <v>1400</v>
      </c>
      <c r="D5" s="7">
        <f>D4*7</f>
        <v>1540.0000000000002</v>
      </c>
      <c r="E5" s="7">
        <f>E4*7</f>
        <v>1694.0000000000005</v>
      </c>
      <c r="F5" s="7">
        <f>F4*7</f>
        <v>1863.4000000000008</v>
      </c>
      <c r="G5" s="7">
        <f>G4*7</f>
        <v>2049.7400000000011</v>
      </c>
      <c r="H5" s="5" t="s">
        <v>7</v>
      </c>
    </row>
    <row r="6" spans="2:8" ht="15" customHeight="1">
      <c r="B6" s="5" t="s">
        <v>8</v>
      </c>
      <c r="C6" s="8">
        <v>4</v>
      </c>
      <c r="D6" s="8">
        <f>C6*1.01</f>
        <v>4.04</v>
      </c>
      <c r="E6" s="8">
        <f>D6*1.01</f>
        <v>4.0804</v>
      </c>
      <c r="F6" s="8">
        <f>E6*1.01</f>
        <v>4.1212039999999996</v>
      </c>
      <c r="G6" s="8">
        <f>F6*1.01</f>
        <v>4.1624160400000001</v>
      </c>
      <c r="H6" s="5" t="s">
        <v>19</v>
      </c>
    </row>
    <row r="7" spans="2:8" ht="15" customHeight="1">
      <c r="B7" s="5" t="s">
        <v>13</v>
      </c>
      <c r="C7" s="7">
        <v>5</v>
      </c>
      <c r="D7" s="7">
        <v>50</v>
      </c>
      <c r="E7" s="7">
        <f>(G7-C7)/2</f>
        <v>167.5</v>
      </c>
      <c r="F7" s="7">
        <v>250</v>
      </c>
      <c r="G7" s="7">
        <v>340</v>
      </c>
      <c r="H7" s="5" t="s">
        <v>29</v>
      </c>
    </row>
    <row r="9" spans="2:8" ht="15" customHeight="1">
      <c r="B9" s="4" t="s">
        <v>9</v>
      </c>
    </row>
    <row r="10" spans="2:8" ht="15" customHeight="1">
      <c r="B10" s="5" t="s">
        <v>5</v>
      </c>
      <c r="C10" s="9">
        <f>((C5*52)*C6)*C7</f>
        <v>1456000</v>
      </c>
      <c r="D10" s="9">
        <f>((D5*52)*D6)*D7</f>
        <v>16176160.000000004</v>
      </c>
      <c r="E10" s="9">
        <f>((E5*52)*E6)*E7</f>
        <v>60205241.096000023</v>
      </c>
      <c r="F10" s="9">
        <f>((F5*52)*F6)*F7</f>
        <v>99832869.936800033</v>
      </c>
      <c r="G10" s="10">
        <f>((G5*52)*G6)*G7</f>
        <v>150843473.1597074</v>
      </c>
      <c r="H10" s="5" t="s">
        <v>44</v>
      </c>
    </row>
    <row r="11" spans="2:8" ht="15" customHeight="1">
      <c r="B11" s="5" t="s">
        <v>26</v>
      </c>
      <c r="C11" s="9">
        <f>C10*0.45</f>
        <v>655200</v>
      </c>
      <c r="D11" s="9">
        <f>D10*0.45</f>
        <v>7279272.0000000019</v>
      </c>
      <c r="E11" s="9">
        <f>E10*0.45</f>
        <v>27092358.493200012</v>
      </c>
      <c r="F11" s="9">
        <f>F10*0.45</f>
        <v>44924791.471560016</v>
      </c>
      <c r="G11" s="9">
        <f>G10*0.45</f>
        <v>67879562.921868324</v>
      </c>
      <c r="H11" s="5" t="s">
        <v>20</v>
      </c>
    </row>
    <row r="13" spans="2:8" ht="15" customHeight="1">
      <c r="B13" s="4" t="s">
        <v>15</v>
      </c>
    </row>
    <row r="14" spans="2:8" ht="15" customHeight="1">
      <c r="B14" s="5" t="s">
        <v>11</v>
      </c>
      <c r="C14" s="9">
        <f>10000*C7</f>
        <v>50000</v>
      </c>
      <c r="D14" s="9">
        <f>10000*D7</f>
        <v>500000</v>
      </c>
      <c r="E14" s="9">
        <f>10000*E7</f>
        <v>1675000</v>
      </c>
      <c r="F14" s="9">
        <f>10000*F7</f>
        <v>2500000</v>
      </c>
      <c r="G14" s="9">
        <f>10000*G7</f>
        <v>3400000</v>
      </c>
      <c r="H14" s="11" t="s">
        <v>39</v>
      </c>
    </row>
    <row r="15" spans="2:8" ht="14.25">
      <c r="B15" s="5" t="s">
        <v>28</v>
      </c>
      <c r="C15" s="9">
        <v>200000</v>
      </c>
      <c r="D15" s="9">
        <f>C15*1.2</f>
        <v>240000</v>
      </c>
      <c r="E15" s="9">
        <f>D15*1.2</f>
        <v>288000</v>
      </c>
      <c r="F15" s="9">
        <f>E15*1.2</f>
        <v>345600</v>
      </c>
      <c r="G15" s="9">
        <f>F15*1.2</f>
        <v>414720</v>
      </c>
      <c r="H15" s="11" t="s">
        <v>31</v>
      </c>
    </row>
    <row r="16" spans="2:8" ht="15" customHeight="1">
      <c r="B16" s="5" t="s">
        <v>0</v>
      </c>
      <c r="D16" s="9">
        <v>75000</v>
      </c>
      <c r="E16" s="9">
        <f>D16*1.1</f>
        <v>82500</v>
      </c>
      <c r="F16" s="9">
        <f>E16*1.1</f>
        <v>90750.000000000015</v>
      </c>
      <c r="G16" s="9">
        <f>F16*1.1</f>
        <v>99825.000000000029</v>
      </c>
      <c r="H16" s="11" t="s">
        <v>30</v>
      </c>
    </row>
    <row r="18" spans="2:8" ht="15" customHeight="1">
      <c r="B18" s="4" t="s">
        <v>47</v>
      </c>
    </row>
    <row r="19" spans="2:8" ht="15" customHeight="1">
      <c r="B19" s="5" t="s">
        <v>12</v>
      </c>
      <c r="C19" s="9">
        <f>200000*C7</f>
        <v>1000000</v>
      </c>
      <c r="D19" s="9">
        <f>200000*(D7-C7)</f>
        <v>9000000</v>
      </c>
      <c r="E19" s="9">
        <f>200000*(E7-D7)</f>
        <v>23500000</v>
      </c>
      <c r="F19" s="9">
        <f>200000*(F7-E7)</f>
        <v>16500000</v>
      </c>
      <c r="G19" s="9">
        <f>200000*(G7-F7)</f>
        <v>18000000</v>
      </c>
      <c r="H19" s="11" t="s">
        <v>1</v>
      </c>
    </row>
    <row r="20" spans="2:8" ht="15" customHeight="1">
      <c r="B20" s="5" t="s">
        <v>27</v>
      </c>
      <c r="C20" s="9">
        <v>100000</v>
      </c>
      <c r="H20" s="11" t="s">
        <v>30</v>
      </c>
    </row>
    <row r="21" spans="2:8" ht="15" customHeight="1">
      <c r="B21" s="5" t="s">
        <v>22</v>
      </c>
      <c r="C21" s="9">
        <v>100000</v>
      </c>
      <c r="H21" s="11" t="s">
        <v>30</v>
      </c>
    </row>
    <row r="22" spans="2:8" ht="15" customHeight="1">
      <c r="B22" s="5" t="s">
        <v>10</v>
      </c>
      <c r="C22" s="9">
        <v>500000</v>
      </c>
      <c r="H22" s="11" t="s">
        <v>30</v>
      </c>
    </row>
    <row r="24" spans="2:8" ht="15" customHeight="1">
      <c r="B24" s="5" t="s">
        <v>38</v>
      </c>
      <c r="C24" s="9">
        <f>C10-SUM(C11:C22)</f>
        <v>-1149200</v>
      </c>
      <c r="D24" s="9">
        <f>D10-SUM(D11:D22)</f>
        <v>-918111.99999999627</v>
      </c>
      <c r="E24" s="9">
        <f>E10-SUM(E11:E22)</f>
        <v>7567382.6028000116</v>
      </c>
      <c r="F24" s="9">
        <f>F10-SUM(F11:F22)</f>
        <v>35471728.465240017</v>
      </c>
      <c r="G24" s="9">
        <f>G10-SUM(G11:G22)</f>
        <v>61049365.237839073</v>
      </c>
    </row>
    <row r="25" spans="2:8" ht="15" customHeight="1">
      <c r="C25" s="12">
        <f>C24/C10</f>
        <v>-0.78928571428571426</v>
      </c>
      <c r="D25" s="12">
        <f>D24/D10</f>
        <v>-5.6757104281856513E-2</v>
      </c>
      <c r="E25" s="12">
        <f>E24/E10</f>
        <v>0.12569308693131007</v>
      </c>
      <c r="F25" s="12">
        <f>F24/F10</f>
        <v>0.35531111634570522</v>
      </c>
      <c r="G25" s="12">
        <f>G24/G10</f>
        <v>0.40471996539884958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1"/>
  <sheetViews>
    <sheetView zoomScaleNormal="100" workbookViewId="0">
      <selection activeCell="E25" sqref="E25"/>
    </sheetView>
  </sheetViews>
  <sheetFormatPr defaultColWidth="9.140625" defaultRowHeight="15" customHeight="1"/>
  <cols>
    <col min="1" max="1" width="33.5703125" customWidth="1"/>
    <col min="2" max="2" width="11.28515625" customWidth="1"/>
    <col min="3" max="3" width="12.7109375" customWidth="1"/>
    <col min="4" max="6" width="9.140625" customWidth="1"/>
  </cols>
  <sheetData>
    <row r="1" spans="1:4" ht="15" customHeight="1">
      <c r="A1" s="5" t="s">
        <v>40</v>
      </c>
    </row>
    <row r="3" spans="1:4" ht="15" customHeight="1">
      <c r="A3" s="4" t="s">
        <v>37</v>
      </c>
    </row>
    <row r="4" spans="1:4" ht="15" customHeight="1">
      <c r="B4" s="4">
        <v>2009</v>
      </c>
      <c r="C4" s="4">
        <v>2008</v>
      </c>
      <c r="D4" s="4">
        <v>2007</v>
      </c>
    </row>
    <row r="5" spans="1:4" ht="15" customHeight="1">
      <c r="A5" s="5" t="s">
        <v>14</v>
      </c>
      <c r="B5" s="13">
        <v>9774.6</v>
      </c>
      <c r="C5" s="13">
        <v>10383</v>
      </c>
      <c r="D5" s="13">
        <v>9411.5</v>
      </c>
    </row>
    <row r="6" spans="1:4" ht="15" customHeight="1">
      <c r="A6" s="5" t="s">
        <v>25</v>
      </c>
      <c r="B6" s="13">
        <v>4324.8999999999996</v>
      </c>
      <c r="C6" s="13">
        <v>4645.3</v>
      </c>
      <c r="D6" s="13">
        <v>3999.1</v>
      </c>
    </row>
    <row r="7" spans="1:4" ht="15" customHeight="1">
      <c r="A7" s="4" t="s">
        <v>16</v>
      </c>
      <c r="B7" s="14">
        <f>(B5-B6)/B5</f>
        <v>0.55753688130460588</v>
      </c>
      <c r="C7" s="14">
        <f>(C5-C6)/C5</f>
        <v>0.55260522007127033</v>
      </c>
      <c r="D7" s="14">
        <f>(D5-D6)/D5</f>
        <v>0.57508367422833762</v>
      </c>
    </row>
    <row r="8" spans="1:4" ht="15" customHeight="1">
      <c r="A8" s="5" t="s">
        <v>48</v>
      </c>
      <c r="B8" s="13">
        <v>562</v>
      </c>
      <c r="C8" s="13">
        <v>503.9</v>
      </c>
      <c r="D8" s="13">
        <v>1053.9000000000001</v>
      </c>
    </row>
    <row r="9" spans="1:4" ht="15" customHeight="1">
      <c r="A9" s="4" t="s">
        <v>36</v>
      </c>
      <c r="B9" s="14">
        <f>B8/B5</f>
        <v>5.7495958913919752E-2</v>
      </c>
      <c r="C9" s="14">
        <f>C8/C5</f>
        <v>4.8531253009727437E-2</v>
      </c>
      <c r="D9" s="14">
        <f>D8/D5</f>
        <v>0.11198002443818733</v>
      </c>
    </row>
    <row r="10" spans="1:4" ht="15" customHeight="1">
      <c r="A10" s="5" t="s">
        <v>6</v>
      </c>
      <c r="B10" s="8">
        <v>390.8</v>
      </c>
      <c r="C10" s="8">
        <v>315.5</v>
      </c>
      <c r="D10" s="8">
        <v>672.6</v>
      </c>
    </row>
    <row r="11" spans="1:4" ht="15" customHeight="1">
      <c r="A11" s="4" t="s">
        <v>32</v>
      </c>
      <c r="B11" s="14">
        <f>B10/B5</f>
        <v>3.9981175700284408E-2</v>
      </c>
      <c r="C11" s="14">
        <f>C10/C5</f>
        <v>3.0386208224983145E-2</v>
      </c>
      <c r="D11" s="14">
        <f>D10/D5</f>
        <v>7.1465759974499291E-2</v>
      </c>
    </row>
    <row r="13" spans="1:4" ht="15" customHeight="1">
      <c r="A13" s="4" t="s">
        <v>24</v>
      </c>
    </row>
    <row r="14" spans="1:4" ht="15" customHeight="1">
      <c r="B14" s="4">
        <v>2009</v>
      </c>
      <c r="C14" s="4">
        <v>2008</v>
      </c>
    </row>
    <row r="15" spans="1:4" ht="15" customHeight="1">
      <c r="A15" s="5" t="s">
        <v>14</v>
      </c>
      <c r="B15" s="13">
        <v>262539</v>
      </c>
      <c r="C15" s="13">
        <v>253899</v>
      </c>
    </row>
    <row r="16" spans="1:4" ht="15" customHeight="1">
      <c r="A16" s="5" t="s">
        <v>25</v>
      </c>
      <c r="B16" s="13">
        <v>115886</v>
      </c>
      <c r="C16" s="13">
        <v>109632</v>
      </c>
    </row>
    <row r="17" spans="1:3" ht="15" customHeight="1">
      <c r="A17" s="4" t="s">
        <v>16</v>
      </c>
      <c r="B17" s="14">
        <f>(B15-B16)/B15</f>
        <v>0.55859510396550605</v>
      </c>
      <c r="C17" s="14">
        <f>(C15-C16)/C15</f>
        <v>0.56820625524322665</v>
      </c>
    </row>
    <row r="18" spans="1:3" ht="15" customHeight="1">
      <c r="A18" s="5" t="s">
        <v>48</v>
      </c>
      <c r="B18" s="13">
        <v>5541</v>
      </c>
      <c r="C18" s="13">
        <v>-15458</v>
      </c>
    </row>
    <row r="19" spans="1:3" ht="15" customHeight="1">
      <c r="A19" s="4" t="s">
        <v>36</v>
      </c>
      <c r="B19" s="14">
        <f>B18/B15</f>
        <v>2.1105435763829374E-2</v>
      </c>
      <c r="C19" s="14">
        <f>C18/C15</f>
        <v>-6.0882476890417057E-2</v>
      </c>
    </row>
    <row r="20" spans="1:3" ht="15" customHeight="1">
      <c r="A20" s="5" t="s">
        <v>6</v>
      </c>
      <c r="B20" s="8">
        <v>5138</v>
      </c>
      <c r="C20" s="8">
        <v>-16342</v>
      </c>
    </row>
    <row r="21" spans="1:3" ht="15" customHeight="1">
      <c r="A21" s="4" t="s">
        <v>32</v>
      </c>
      <c r="B21" s="14">
        <f>B20/B15</f>
        <v>1.9570425727225289E-2</v>
      </c>
      <c r="C21" s="14">
        <f>C20/C15</f>
        <v>-6.4364176306326529E-2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Fin-Model</vt:lpstr>
      <vt:lpstr>Fin-Model (PS)</vt:lpstr>
      <vt:lpstr>Transaction Economics</vt:lpstr>
      <vt:lpstr>Income Statement</vt:lpstr>
      <vt:lpstr>Balance Sheet</vt:lpstr>
      <vt:lpstr>Cash Flow</vt:lpstr>
      <vt:lpstr>PROF WHITE - TEABAR FIN MODEL</vt:lpstr>
      <vt:lpstr>S-Buck &amp; Caribou Margins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Dasnurkar</cp:lastModifiedBy>
  <dcterms:created xsi:type="dcterms:W3CDTF">2011-02-12T17:56:59Z</dcterms:created>
  <dcterms:modified xsi:type="dcterms:W3CDTF">2011-02-20T18:29:31Z</dcterms:modified>
</cp:coreProperties>
</file>