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mch/Documents/SMU/Jan Term/FNCE6048 Advanced Equity Analysis and Portfolio Management/"/>
    </mc:Choice>
  </mc:AlternateContent>
  <xr:revisionPtr revIDLastSave="0" documentId="8_{605C69CC-7661-6847-8219-1FF6BB9B519A}" xr6:coauthVersionLast="47" xr6:coauthVersionMax="47" xr10:uidLastSave="{00000000-0000-0000-0000-000000000000}"/>
  <bookViews>
    <workbookView xWindow="380" yWindow="500" windowWidth="28800" windowHeight="16400" firstSheet="1" activeTab="2" xr2:uid="{2490DE15-9583-224F-B21A-BDF29DA2F473}"/>
  </bookViews>
  <sheets>
    <sheet name="PROFORMA" sheetId="15" r:id="rId1"/>
    <sheet name="Agenda" sheetId="3" r:id="rId2"/>
    <sheet name="FCFF" sheetId="1" r:id="rId3"/>
    <sheet name="Scenario Analysis" sheetId="9" r:id="rId4"/>
    <sheet name="Sheet3" sheetId="18" r:id="rId5"/>
    <sheet name="Sheet4" sheetId="19" r:id="rId6"/>
    <sheet name="FCFF with net income" sheetId="11" r:id="rId7"/>
    <sheet name="FCFF with net income (2)" sheetId="20" r:id="rId8"/>
    <sheet name="Sheet1 (2)" sheetId="22" r:id="rId9"/>
    <sheet name="Operating Rev" sheetId="2" r:id="rId10"/>
    <sheet name="WACC" sheetId="4" r:id="rId11"/>
    <sheet name="Sensitivity Analysis" sheetId="10" r:id="rId12"/>
    <sheet name="BS" sheetId="6" r:id="rId13"/>
    <sheet name="IS" sheetId="7" r:id="rId14"/>
    <sheet name="CF" sheetId="8" r:id="rId15"/>
    <sheet name="Valuation report table" sheetId="14" r:id="rId16"/>
    <sheet name="Appendix" sheetId="16" r:id="rId17"/>
    <sheet name="Sheet2" sheetId="17" r:id="rId18"/>
  </sheets>
  <externalReferences>
    <externalReference r:id="rId19"/>
  </externalReferences>
  <definedNames>
    <definedName name="tgr" localSheetId="6">'FCFF with net income'!$B$19</definedName>
    <definedName name="tgr" localSheetId="7">'FCFF with net income (2)'!$B$19</definedName>
    <definedName name="tgr">FCFF!$B$19</definedName>
    <definedName name="wacc" localSheetId="6">'FCFF with net income'!$B$18</definedName>
    <definedName name="wacc" localSheetId="7">'FCFF with net income (2)'!$B$18</definedName>
    <definedName name="wacc">FCFF!$B$18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9" i="19" l="1"/>
  <c r="H19" i="19"/>
  <c r="I19" i="19"/>
  <c r="G51" i="22"/>
  <c r="F51" i="22"/>
  <c r="E51" i="22"/>
  <c r="D51" i="22"/>
  <c r="C51" i="22"/>
  <c r="B45" i="22"/>
  <c r="B39" i="22"/>
  <c r="D38" i="22"/>
  <c r="C38" i="22"/>
  <c r="C37" i="22"/>
  <c r="D37" i="22" s="1"/>
  <c r="E37" i="22" s="1"/>
  <c r="F37" i="22" s="1"/>
  <c r="C36" i="22"/>
  <c r="B25" i="22"/>
  <c r="B19" i="22"/>
  <c r="C18" i="22"/>
  <c r="D18" i="22" s="1"/>
  <c r="E18" i="22" s="1"/>
  <c r="C17" i="22"/>
  <c r="C16" i="22"/>
  <c r="T128" i="20"/>
  <c r="F62" i="20"/>
  <c r="E70" i="20"/>
  <c r="K64" i="20"/>
  <c r="J64" i="20"/>
  <c r="I64" i="20"/>
  <c r="H64" i="20"/>
  <c r="K62" i="20"/>
  <c r="J62" i="20"/>
  <c r="I62" i="20"/>
  <c r="H62" i="20"/>
  <c r="F42" i="20"/>
  <c r="F43" i="20"/>
  <c r="F41" i="20"/>
  <c r="G64" i="20"/>
  <c r="G62" i="20"/>
  <c r="F57" i="20"/>
  <c r="H81" i="20"/>
  <c r="I81" i="20"/>
  <c r="J81" i="20"/>
  <c r="K81" i="20"/>
  <c r="G81" i="20"/>
  <c r="F72" i="20"/>
  <c r="H70" i="20"/>
  <c r="I70" i="20"/>
  <c r="J70" i="20"/>
  <c r="K70" i="20"/>
  <c r="G70" i="20"/>
  <c r="F70" i="20"/>
  <c r="F64" i="20" s="1"/>
  <c r="B26" i="22" l="1"/>
  <c r="C26" i="22" s="1"/>
  <c r="C22" i="22" s="1"/>
  <c r="B46" i="22"/>
  <c r="C46" i="22" s="1"/>
  <c r="C47" i="22"/>
  <c r="D46" i="22"/>
  <c r="D43" i="22" s="1"/>
  <c r="C43" i="22"/>
  <c r="G37" i="22"/>
  <c r="C42" i="22"/>
  <c r="C44" i="22"/>
  <c r="C19" i="22"/>
  <c r="D16" i="22"/>
  <c r="F18" i="22"/>
  <c r="E38" i="22"/>
  <c r="C39" i="22"/>
  <c r="D17" i="22"/>
  <c r="D36" i="22"/>
  <c r="F77" i="20"/>
  <c r="G77" i="20" s="1"/>
  <c r="G73" i="20" s="1"/>
  <c r="G78" i="20"/>
  <c r="G74" i="20"/>
  <c r="G75" i="20"/>
  <c r="C24" i="22" l="1"/>
  <c r="C27" i="22"/>
  <c r="D26" i="22"/>
  <c r="E26" i="22" s="1"/>
  <c r="C45" i="22"/>
  <c r="C23" i="22"/>
  <c r="C25" i="22" s="1"/>
  <c r="D44" i="22"/>
  <c r="G18" i="22"/>
  <c r="D39" i="22"/>
  <c r="D42" i="22"/>
  <c r="E36" i="22"/>
  <c r="F38" i="22"/>
  <c r="E17" i="22"/>
  <c r="D47" i="22"/>
  <c r="E46" i="22"/>
  <c r="E16" i="22"/>
  <c r="D19" i="22"/>
  <c r="H77" i="20"/>
  <c r="H73" i="20" s="1"/>
  <c r="H75" i="20"/>
  <c r="H74" i="20"/>
  <c r="I77" i="20"/>
  <c r="D24" i="22" l="1"/>
  <c r="D27" i="22"/>
  <c r="D22" i="22"/>
  <c r="D23" i="22"/>
  <c r="D45" i="22"/>
  <c r="E47" i="22"/>
  <c r="F46" i="22"/>
  <c r="F44" i="22" s="1"/>
  <c r="E43" i="22"/>
  <c r="G38" i="22"/>
  <c r="E44" i="22"/>
  <c r="E19" i="22"/>
  <c r="E22" i="22"/>
  <c r="F16" i="22"/>
  <c r="E23" i="22"/>
  <c r="F17" i="22"/>
  <c r="F36" i="22"/>
  <c r="E42" i="22"/>
  <c r="E39" i="22"/>
  <c r="E27" i="22"/>
  <c r="F26" i="22"/>
  <c r="E24" i="22"/>
  <c r="D25" i="22"/>
  <c r="H78" i="20"/>
  <c r="I74" i="20"/>
  <c r="I75" i="20"/>
  <c r="I78" i="20"/>
  <c r="I73" i="20"/>
  <c r="J77" i="20"/>
  <c r="E45" i="22" l="1"/>
  <c r="F27" i="22"/>
  <c r="G26" i="22"/>
  <c r="F24" i="22"/>
  <c r="F42" i="22"/>
  <c r="G36" i="22"/>
  <c r="F39" i="22"/>
  <c r="F23" i="22"/>
  <c r="G17" i="22"/>
  <c r="G16" i="22"/>
  <c r="F22" i="22"/>
  <c r="F19" i="22"/>
  <c r="F47" i="22"/>
  <c r="G46" i="22"/>
  <c r="F43" i="22"/>
  <c r="E25" i="22"/>
  <c r="J78" i="20"/>
  <c r="J74" i="20"/>
  <c r="J75" i="20"/>
  <c r="J73" i="20"/>
  <c r="K77" i="20"/>
  <c r="F25" i="22" l="1"/>
  <c r="F45" i="22"/>
  <c r="G47" i="22"/>
  <c r="G43" i="22"/>
  <c r="G22" i="22"/>
  <c r="G19" i="22"/>
  <c r="G42" i="22"/>
  <c r="G39" i="22"/>
  <c r="G44" i="22"/>
  <c r="G23" i="22"/>
  <c r="G27" i="22"/>
  <c r="G24" i="22"/>
  <c r="K78" i="20"/>
  <c r="K73" i="20"/>
  <c r="K74" i="20"/>
  <c r="K75" i="20"/>
  <c r="G25" i="22" l="1"/>
  <c r="G45" i="22"/>
  <c r="H51" i="20" l="1"/>
  <c r="I51" i="20"/>
  <c r="J51" i="20"/>
  <c r="K51" i="20"/>
  <c r="G51" i="20"/>
  <c r="F51" i="20"/>
  <c r="C105" i="20"/>
  <c r="D105" i="20"/>
  <c r="E105" i="20"/>
  <c r="F105" i="20"/>
  <c r="B105" i="20"/>
  <c r="B63" i="11"/>
  <c r="C102" i="20"/>
  <c r="D102" i="20"/>
  <c r="E102" i="20"/>
  <c r="F102" i="20"/>
  <c r="B102" i="20"/>
  <c r="C92" i="20"/>
  <c r="D92" i="20"/>
  <c r="E92" i="20"/>
  <c r="F92" i="20"/>
  <c r="B92" i="20"/>
  <c r="H133" i="20"/>
  <c r="H132" i="20"/>
  <c r="H131" i="20"/>
  <c r="E132" i="20"/>
  <c r="T130" i="20"/>
  <c r="W130" i="20" s="1"/>
  <c r="Y130" i="20" s="1"/>
  <c r="AA130" i="20" s="1"/>
  <c r="W128" i="20"/>
  <c r="T117" i="20"/>
  <c r="T129" i="20"/>
  <c r="Q131" i="20"/>
  <c r="R130" i="20" s="1"/>
  <c r="T119" i="20"/>
  <c r="T118" i="20"/>
  <c r="W118" i="20" s="1"/>
  <c r="Y118" i="20" s="1"/>
  <c r="S120" i="20"/>
  <c r="Q120" i="20"/>
  <c r="L125" i="20"/>
  <c r="N113" i="20"/>
  <c r="O112" i="20"/>
  <c r="B143" i="20"/>
  <c r="B142" i="20"/>
  <c r="F128" i="20"/>
  <c r="E128" i="20"/>
  <c r="D128" i="20"/>
  <c r="C128" i="20"/>
  <c r="B128" i="20"/>
  <c r="F126" i="20"/>
  <c r="G126" i="20" s="1"/>
  <c r="H126" i="20" s="1"/>
  <c r="I126" i="20" s="1"/>
  <c r="J126" i="20" s="1"/>
  <c r="K126" i="20" s="1"/>
  <c r="E126" i="20"/>
  <c r="D126" i="20"/>
  <c r="C126" i="20"/>
  <c r="B126" i="20"/>
  <c r="K125" i="20"/>
  <c r="J125" i="20"/>
  <c r="I125" i="20"/>
  <c r="H125" i="20"/>
  <c r="F125" i="20"/>
  <c r="E125" i="20"/>
  <c r="D125" i="20"/>
  <c r="C125" i="20"/>
  <c r="B125" i="20"/>
  <c r="F121" i="20"/>
  <c r="F124" i="20" s="1"/>
  <c r="F138" i="20" s="1"/>
  <c r="E121" i="20"/>
  <c r="E124" i="20" s="1"/>
  <c r="D121" i="20"/>
  <c r="D124" i="20" s="1"/>
  <c r="C121" i="20"/>
  <c r="C124" i="20" s="1"/>
  <c r="B121" i="20"/>
  <c r="B124" i="20" s="1"/>
  <c r="B138" i="20" s="1"/>
  <c r="F113" i="20"/>
  <c r="E113" i="20"/>
  <c r="D113" i="20"/>
  <c r="C113" i="20"/>
  <c r="B113" i="20"/>
  <c r="F112" i="20"/>
  <c r="E112" i="20"/>
  <c r="D112" i="20"/>
  <c r="C112" i="20"/>
  <c r="B112" i="20"/>
  <c r="F108" i="20"/>
  <c r="E108" i="20"/>
  <c r="D108" i="20"/>
  <c r="C108" i="20"/>
  <c r="B108" i="20"/>
  <c r="F107" i="20"/>
  <c r="E107" i="20"/>
  <c r="D107" i="20"/>
  <c r="C107" i="20"/>
  <c r="B107" i="20"/>
  <c r="K106" i="20"/>
  <c r="J106" i="20"/>
  <c r="I106" i="20"/>
  <c r="H106" i="20"/>
  <c r="G106" i="20"/>
  <c r="F106" i="20"/>
  <c r="B149" i="20" s="1"/>
  <c r="E106" i="20"/>
  <c r="D106" i="20"/>
  <c r="C106" i="20"/>
  <c r="B106" i="20"/>
  <c r="G104" i="20"/>
  <c r="H104" i="20" s="1"/>
  <c r="I104" i="20" s="1"/>
  <c r="I113" i="20" s="1"/>
  <c r="G101" i="20"/>
  <c r="H101" i="20" s="1"/>
  <c r="I101" i="20" s="1"/>
  <c r="J101" i="20" s="1"/>
  <c r="K101" i="20" s="1"/>
  <c r="F95" i="20"/>
  <c r="G94" i="20" s="1"/>
  <c r="E95" i="20"/>
  <c r="D95" i="20"/>
  <c r="C95" i="20"/>
  <c r="B95" i="20"/>
  <c r="G93" i="20"/>
  <c r="G141" i="20" s="1"/>
  <c r="G91" i="20"/>
  <c r="H91" i="20" s="1"/>
  <c r="I91" i="20" s="1"/>
  <c r="J91" i="20" s="1"/>
  <c r="K91" i="20" s="1"/>
  <c r="G35" i="20"/>
  <c r="G125" i="20" s="1"/>
  <c r="F34" i="20"/>
  <c r="E34" i="20"/>
  <c r="D34" i="20"/>
  <c r="C34" i="20"/>
  <c r="F33" i="20"/>
  <c r="E33" i="20"/>
  <c r="D33" i="20"/>
  <c r="C33" i="20"/>
  <c r="B33" i="20"/>
  <c r="F32" i="20"/>
  <c r="E32" i="20"/>
  <c r="D32" i="20"/>
  <c r="C32" i="20"/>
  <c r="F30" i="20"/>
  <c r="E30" i="20"/>
  <c r="D30" i="20"/>
  <c r="C30" i="20"/>
  <c r="F29" i="20"/>
  <c r="E29" i="20"/>
  <c r="D29" i="20"/>
  <c r="C29" i="20"/>
  <c r="B29" i="20"/>
  <c r="F28" i="20"/>
  <c r="E28" i="20"/>
  <c r="D28" i="20"/>
  <c r="C28" i="20"/>
  <c r="B28" i="20"/>
  <c r="F27" i="20"/>
  <c r="E27" i="20"/>
  <c r="D27" i="20"/>
  <c r="C27" i="20"/>
  <c r="B27" i="20"/>
  <c r="F26" i="20"/>
  <c r="E26" i="20"/>
  <c r="D26" i="20"/>
  <c r="C26" i="20"/>
  <c r="B26" i="20"/>
  <c r="F25" i="20"/>
  <c r="E25" i="20"/>
  <c r="D25" i="20"/>
  <c r="C25" i="20"/>
  <c r="B25" i="20"/>
  <c r="F24" i="20"/>
  <c r="E24" i="20"/>
  <c r="D24" i="20"/>
  <c r="C24" i="20"/>
  <c r="B24" i="20"/>
  <c r="F23" i="20"/>
  <c r="E23" i="20"/>
  <c r="D23" i="20"/>
  <c r="C23" i="20"/>
  <c r="B23" i="20"/>
  <c r="F22" i="20"/>
  <c r="E22" i="20"/>
  <c r="D22" i="20"/>
  <c r="C22" i="20"/>
  <c r="B19" i="20" a="1"/>
  <c r="B19" i="20" s="1"/>
  <c r="B17" i="20" a="1"/>
  <c r="B17" i="20" s="1"/>
  <c r="K22" i="20" s="1"/>
  <c r="B16" i="20" a="1"/>
  <c r="B16" i="20" s="1"/>
  <c r="J22" i="20" s="1"/>
  <c r="K15" i="20"/>
  <c r="H15" i="20"/>
  <c r="B18" i="20" s="1" a="1"/>
  <c r="B18" i="20" s="1"/>
  <c r="E15" i="20"/>
  <c r="B15" i="20" a="1"/>
  <c r="B15" i="20" s="1"/>
  <c r="H22" i="20" s="1"/>
  <c r="B14" i="20" a="1"/>
  <c r="B14" i="20" s="1"/>
  <c r="G22" i="20" s="1"/>
  <c r="G116" i="20" s="1"/>
  <c r="N121" i="20" s="1"/>
  <c r="E5" i="20" a="1"/>
  <c r="E5" i="20" s="1"/>
  <c r="F58" i="20" l="1"/>
  <c r="G58" i="20" s="1"/>
  <c r="W119" i="20"/>
  <c r="Y119" i="20" s="1"/>
  <c r="AA119" i="20" s="1"/>
  <c r="AC119" i="20" s="1"/>
  <c r="Q121" i="20"/>
  <c r="Q122" i="20" s="1"/>
  <c r="I105" i="20"/>
  <c r="G88" i="20"/>
  <c r="H105" i="20"/>
  <c r="G105" i="20"/>
  <c r="D98" i="20"/>
  <c r="B98" i="20"/>
  <c r="C98" i="20"/>
  <c r="F98" i="20"/>
  <c r="E98" i="20"/>
  <c r="B109" i="20"/>
  <c r="F109" i="20"/>
  <c r="Q132" i="20"/>
  <c r="Q133" i="20" s="1"/>
  <c r="V128" i="20" s="1"/>
  <c r="B127" i="20"/>
  <c r="B129" i="20" s="1"/>
  <c r="Y128" i="20"/>
  <c r="AC130" i="20"/>
  <c r="M117" i="20"/>
  <c r="R117" i="20"/>
  <c r="W117" i="20"/>
  <c r="W120" i="20" s="1"/>
  <c r="M119" i="20"/>
  <c r="N119" i="20" s="1"/>
  <c r="R119" i="20"/>
  <c r="R129" i="20"/>
  <c r="M118" i="20"/>
  <c r="N118" i="20" s="1"/>
  <c r="R118" i="20"/>
  <c r="T120" i="20"/>
  <c r="AA118" i="20"/>
  <c r="R128" i="20"/>
  <c r="T131" i="20"/>
  <c r="U128" i="20" s="1"/>
  <c r="D109" i="20"/>
  <c r="G113" i="20"/>
  <c r="E109" i="20"/>
  <c r="C111" i="20"/>
  <c r="C143" i="20" s="1"/>
  <c r="H113" i="20"/>
  <c r="F127" i="20"/>
  <c r="F129" i="20" s="1"/>
  <c r="F132" i="20" s="1"/>
  <c r="D111" i="20"/>
  <c r="D143" i="20" s="1"/>
  <c r="E127" i="20"/>
  <c r="E129" i="20" s="1"/>
  <c r="C109" i="20"/>
  <c r="D110" i="20" s="1"/>
  <c r="D142" i="20" s="1"/>
  <c r="H93" i="20"/>
  <c r="H141" i="20" s="1"/>
  <c r="J104" i="20"/>
  <c r="J113" i="20" s="1"/>
  <c r="G123" i="20"/>
  <c r="G120" i="20"/>
  <c r="G122" i="20"/>
  <c r="G89" i="20"/>
  <c r="I22" i="20"/>
  <c r="F111" i="20"/>
  <c r="F143" i="20" s="1"/>
  <c r="C138" i="20"/>
  <c r="C127" i="20"/>
  <c r="C129" i="20" s="1"/>
  <c r="D138" i="20"/>
  <c r="D127" i="20"/>
  <c r="D129" i="20" s="1"/>
  <c r="H116" i="20"/>
  <c r="E111" i="20"/>
  <c r="E143" i="20" s="1"/>
  <c r="B139" i="20"/>
  <c r="B140" i="20" s="1"/>
  <c r="B144" i="20" s="1"/>
  <c r="F139" i="20"/>
  <c r="F140" i="20" s="1"/>
  <c r="E138" i="20"/>
  <c r="G95" i="20"/>
  <c r="H94" i="20" s="1"/>
  <c r="V119" i="20" l="1"/>
  <c r="Q123" i="20"/>
  <c r="V117" i="20"/>
  <c r="G55" i="20"/>
  <c r="G56" i="20"/>
  <c r="H58" i="20"/>
  <c r="H55" i="20" s="1"/>
  <c r="G54" i="20"/>
  <c r="G59" i="20"/>
  <c r="H54" i="20"/>
  <c r="H59" i="20"/>
  <c r="V118" i="20"/>
  <c r="X118" i="20"/>
  <c r="K104" i="20"/>
  <c r="J105" i="20"/>
  <c r="V129" i="20"/>
  <c r="W129" i="20" s="1"/>
  <c r="W131" i="20" s="1"/>
  <c r="V130" i="20"/>
  <c r="C110" i="20"/>
  <c r="C142" i="20" s="1"/>
  <c r="Q134" i="20"/>
  <c r="X128" i="20" s="1"/>
  <c r="AC118" i="20"/>
  <c r="E110" i="20"/>
  <c r="E142" i="20" s="1"/>
  <c r="AA128" i="20"/>
  <c r="U130" i="20"/>
  <c r="Y117" i="20"/>
  <c r="Y120" i="20" s="1"/>
  <c r="X117" i="20"/>
  <c r="N117" i="20"/>
  <c r="N120" i="20" s="1"/>
  <c r="N122" i="20" s="1"/>
  <c r="M120" i="20"/>
  <c r="M122" i="20" s="1"/>
  <c r="U119" i="20"/>
  <c r="U117" i="20"/>
  <c r="U118" i="20"/>
  <c r="U129" i="20"/>
  <c r="I93" i="20"/>
  <c r="I141" i="20" s="1"/>
  <c r="F110" i="20"/>
  <c r="F142" i="20" s="1"/>
  <c r="F144" i="20" s="1"/>
  <c r="H123" i="20"/>
  <c r="H120" i="20"/>
  <c r="H121" i="20" s="1"/>
  <c r="H122" i="20"/>
  <c r="H89" i="20"/>
  <c r="H88" i="20"/>
  <c r="C139" i="20"/>
  <c r="C140" i="20" s="1"/>
  <c r="G99" i="20"/>
  <c r="G102" i="20" s="1"/>
  <c r="G90" i="20"/>
  <c r="G107" i="20" s="1"/>
  <c r="H95" i="20"/>
  <c r="D139" i="20"/>
  <c r="D140" i="20" s="1"/>
  <c r="D144" i="20" s="1"/>
  <c r="G111" i="20"/>
  <c r="G143" i="20" s="1"/>
  <c r="E139" i="20"/>
  <c r="E140" i="20" s="1"/>
  <c r="I116" i="20"/>
  <c r="G121" i="20"/>
  <c r="G124" i="20" s="1"/>
  <c r="F22" i="1"/>
  <c r="S15" i="16"/>
  <c r="S16" i="16"/>
  <c r="S17" i="16"/>
  <c r="S18" i="16"/>
  <c r="S19" i="16"/>
  <c r="S20" i="16"/>
  <c r="S21" i="16"/>
  <c r="S22" i="16"/>
  <c r="S23" i="16"/>
  <c r="S24" i="16"/>
  <c r="S25" i="16"/>
  <c r="S3" i="16"/>
  <c r="S4" i="16"/>
  <c r="S5" i="16"/>
  <c r="S6" i="16"/>
  <c r="S7" i="16"/>
  <c r="S8" i="16"/>
  <c r="S9" i="16"/>
  <c r="S10" i="16"/>
  <c r="G82" i="11"/>
  <c r="F81" i="11"/>
  <c r="G81" i="11"/>
  <c r="G57" i="20" l="1"/>
  <c r="I58" i="20"/>
  <c r="I54" i="20" s="1"/>
  <c r="H56" i="20"/>
  <c r="H57" i="20"/>
  <c r="I56" i="20"/>
  <c r="V120" i="20"/>
  <c r="G117" i="20" s="1"/>
  <c r="I131" i="20" s="1"/>
  <c r="Q124" i="20"/>
  <c r="Q125" i="20" s="1"/>
  <c r="X119" i="20"/>
  <c r="X120" i="20" s="1"/>
  <c r="H117" i="20" s="1"/>
  <c r="K113" i="20"/>
  <c r="K105" i="20"/>
  <c r="V131" i="20"/>
  <c r="G118" i="20" s="1"/>
  <c r="I132" i="20" s="1"/>
  <c r="C144" i="20"/>
  <c r="X130" i="20"/>
  <c r="G92" i="20"/>
  <c r="G98" i="20" s="1"/>
  <c r="E144" i="20"/>
  <c r="Q135" i="20"/>
  <c r="Q136" i="20" s="1"/>
  <c r="AB128" i="20" s="1"/>
  <c r="X129" i="20"/>
  <c r="Y129" i="20" s="1"/>
  <c r="J93" i="20"/>
  <c r="J141" i="20" s="1"/>
  <c r="AA117" i="20"/>
  <c r="AC128" i="20"/>
  <c r="H124" i="20"/>
  <c r="H138" i="20" s="1"/>
  <c r="I123" i="20"/>
  <c r="I120" i="20"/>
  <c r="I121" i="20" s="1"/>
  <c r="I122" i="20"/>
  <c r="I89" i="20"/>
  <c r="I88" i="20"/>
  <c r="J116" i="20"/>
  <c r="H111" i="20"/>
  <c r="H143" i="20" s="1"/>
  <c r="I94" i="20"/>
  <c r="G138" i="20"/>
  <c r="G127" i="20"/>
  <c r="G112" i="20"/>
  <c r="G108" i="20"/>
  <c r="G109" i="20" s="1"/>
  <c r="G110" i="20" s="1"/>
  <c r="G142" i="20" s="1"/>
  <c r="H90" i="20"/>
  <c r="H107" i="20" s="1"/>
  <c r="H99" i="20"/>
  <c r="H102" i="20" s="1"/>
  <c r="I55" i="20" l="1"/>
  <c r="I59" i="20"/>
  <c r="J58" i="20"/>
  <c r="I57" i="20"/>
  <c r="Z117" i="20"/>
  <c r="Z118" i="20"/>
  <c r="K58" i="20"/>
  <c r="J55" i="20"/>
  <c r="J54" i="20"/>
  <c r="J59" i="20"/>
  <c r="J56" i="20"/>
  <c r="Z119" i="20"/>
  <c r="J131" i="20"/>
  <c r="G119" i="20"/>
  <c r="I133" i="20" s="1"/>
  <c r="K93" i="20"/>
  <c r="K141" i="20" s="1"/>
  <c r="Z128" i="20"/>
  <c r="H92" i="20"/>
  <c r="H98" i="20" s="1"/>
  <c r="Z130" i="20"/>
  <c r="X131" i="20"/>
  <c r="H118" i="20" s="1"/>
  <c r="AB119" i="20"/>
  <c r="Q126" i="20"/>
  <c r="AB118" i="20"/>
  <c r="Q137" i="20"/>
  <c r="AD130" i="20" s="1"/>
  <c r="AB130" i="20"/>
  <c r="AA120" i="20"/>
  <c r="AC117" i="20"/>
  <c r="AB117" i="20"/>
  <c r="Z129" i="20"/>
  <c r="Y131" i="20"/>
  <c r="I124" i="20"/>
  <c r="I127" i="20" s="1"/>
  <c r="H127" i="20"/>
  <c r="H128" i="20" s="1"/>
  <c r="H129" i="20" s="1"/>
  <c r="J122" i="20"/>
  <c r="J89" i="20"/>
  <c r="J88" i="20"/>
  <c r="J123" i="20"/>
  <c r="J120" i="20"/>
  <c r="J121" i="20" s="1"/>
  <c r="K116" i="20"/>
  <c r="H139" i="20"/>
  <c r="H140" i="20" s="1"/>
  <c r="G139" i="20"/>
  <c r="G140" i="20" s="1"/>
  <c r="G144" i="20" s="1"/>
  <c r="G146" i="20" s="1"/>
  <c r="I95" i="20"/>
  <c r="H112" i="20"/>
  <c r="H108" i="20"/>
  <c r="H109" i="20" s="1"/>
  <c r="H110" i="20" s="1"/>
  <c r="H142" i="20" s="1"/>
  <c r="G128" i="20"/>
  <c r="G129" i="20" s="1"/>
  <c r="G132" i="20" s="1"/>
  <c r="G133" i="20" s="1"/>
  <c r="I90" i="20"/>
  <c r="I107" i="20" s="1"/>
  <c r="I99" i="20"/>
  <c r="I102" i="20" s="1"/>
  <c r="Z120" i="20" l="1"/>
  <c r="I117" i="20" s="1"/>
  <c r="K131" i="20" s="1"/>
  <c r="K59" i="20"/>
  <c r="K55" i="20"/>
  <c r="K56" i="20"/>
  <c r="K54" i="20"/>
  <c r="J57" i="20"/>
  <c r="Z131" i="20"/>
  <c r="I118" i="20" s="1"/>
  <c r="K132" i="20" s="1"/>
  <c r="J132" i="20"/>
  <c r="H119" i="20"/>
  <c r="J133" i="20" s="1"/>
  <c r="I92" i="20"/>
  <c r="I98" i="20" s="1"/>
  <c r="I138" i="20"/>
  <c r="I139" i="20" s="1"/>
  <c r="I140" i="20" s="1"/>
  <c r="AD128" i="20"/>
  <c r="AA129" i="20"/>
  <c r="AD119" i="20"/>
  <c r="AD118" i="20"/>
  <c r="AB120" i="20"/>
  <c r="J117" i="20" s="1"/>
  <c r="AC120" i="20"/>
  <c r="AD117" i="20"/>
  <c r="J124" i="20"/>
  <c r="J138" i="20" s="1"/>
  <c r="I111" i="20"/>
  <c r="I143" i="20" s="1"/>
  <c r="H144" i="20"/>
  <c r="H146" i="20" s="1"/>
  <c r="J94" i="20"/>
  <c r="K123" i="20"/>
  <c r="K120" i="20"/>
  <c r="K88" i="20"/>
  <c r="K122" i="20"/>
  <c r="K89" i="20"/>
  <c r="I112" i="20"/>
  <c r="I108" i="20"/>
  <c r="I109" i="20" s="1"/>
  <c r="I110" i="20" s="1"/>
  <c r="I142" i="20" s="1"/>
  <c r="J99" i="20"/>
  <c r="J102" i="20" s="1"/>
  <c r="J90" i="20"/>
  <c r="J92" i="20" s="1"/>
  <c r="I128" i="20"/>
  <c r="I129" i="20" s="1"/>
  <c r="F7" i="4"/>
  <c r="M38" i="8"/>
  <c r="W94" i="8"/>
  <c r="W90" i="8"/>
  <c r="X90" i="8"/>
  <c r="O94" i="8"/>
  <c r="P94" i="8"/>
  <c r="Q94" i="8"/>
  <c r="R94" i="8"/>
  <c r="S94" i="8"/>
  <c r="T94" i="8"/>
  <c r="U94" i="8"/>
  <c r="V94" i="8"/>
  <c r="N94" i="8"/>
  <c r="W92" i="8"/>
  <c r="O92" i="8"/>
  <c r="P92" i="8"/>
  <c r="Q92" i="8"/>
  <c r="R92" i="8"/>
  <c r="S92" i="8"/>
  <c r="T92" i="8"/>
  <c r="U92" i="8"/>
  <c r="V92" i="8"/>
  <c r="N92" i="8"/>
  <c r="W88" i="8"/>
  <c r="O90" i="8"/>
  <c r="P90" i="8"/>
  <c r="Q90" i="8"/>
  <c r="R90" i="8"/>
  <c r="S90" i="8"/>
  <c r="T90" i="8"/>
  <c r="U90" i="8"/>
  <c r="V90" i="8"/>
  <c r="N90" i="8"/>
  <c r="U16" i="10"/>
  <c r="U15" i="10"/>
  <c r="G6" i="4"/>
  <c r="T88" i="8"/>
  <c r="U88" i="8"/>
  <c r="V88" i="8"/>
  <c r="F6" i="4"/>
  <c r="O88" i="8"/>
  <c r="P88" i="8"/>
  <c r="Q88" i="8"/>
  <c r="R88" i="8"/>
  <c r="S88" i="8"/>
  <c r="N88" i="8"/>
  <c r="U14" i="10"/>
  <c r="U13" i="10"/>
  <c r="K57" i="20" l="1"/>
  <c r="I119" i="20"/>
  <c r="K133" i="20" s="1"/>
  <c r="AD120" i="20"/>
  <c r="K117" i="20" s="1"/>
  <c r="M131" i="20" s="1"/>
  <c r="J127" i="20"/>
  <c r="J128" i="20" s="1"/>
  <c r="J129" i="20" s="1"/>
  <c r="L131" i="20"/>
  <c r="AA131" i="20"/>
  <c r="AB129" i="20"/>
  <c r="I144" i="20"/>
  <c r="I146" i="20" s="1"/>
  <c r="J95" i="20"/>
  <c r="J98" i="20" s="1"/>
  <c r="J107" i="20"/>
  <c r="J112" i="20"/>
  <c r="J108" i="20"/>
  <c r="K99" i="20"/>
  <c r="K102" i="20" s="1"/>
  <c r="K90" i="20"/>
  <c r="K107" i="20" s="1"/>
  <c r="J139" i="20"/>
  <c r="J140" i="20" s="1"/>
  <c r="K121" i="20"/>
  <c r="K124" i="20" s="1"/>
  <c r="K92" i="20" l="1"/>
  <c r="AB131" i="20"/>
  <c r="J118" i="20" s="1"/>
  <c r="AC129" i="20"/>
  <c r="J109" i="20"/>
  <c r="J110" i="20" s="1"/>
  <c r="J142" i="20" s="1"/>
  <c r="K112" i="20"/>
  <c r="K108" i="20"/>
  <c r="K109" i="20" s="1"/>
  <c r="J111" i="20"/>
  <c r="J143" i="20" s="1"/>
  <c r="K138" i="20"/>
  <c r="K127" i="20"/>
  <c r="K94" i="20"/>
  <c r="K95" i="20" s="1"/>
  <c r="K98" i="20" l="1"/>
  <c r="K110" i="20"/>
  <c r="K142" i="20" s="1"/>
  <c r="J144" i="20"/>
  <c r="J146" i="20" s="1"/>
  <c r="AD129" i="20"/>
  <c r="AD131" i="20" s="1"/>
  <c r="K118" i="20" s="1"/>
  <c r="AC131" i="20"/>
  <c r="L132" i="20"/>
  <c r="J119" i="20"/>
  <c r="L133" i="20" s="1"/>
  <c r="K139" i="20"/>
  <c r="K140" i="20" s="1"/>
  <c r="K111" i="20"/>
  <c r="K143" i="20" s="1"/>
  <c r="K128" i="20"/>
  <c r="K129" i="20" s="1"/>
  <c r="M132" i="20" l="1"/>
  <c r="K119" i="20"/>
  <c r="M133" i="20" s="1"/>
  <c r="K144" i="20"/>
  <c r="K145" i="20" s="1"/>
  <c r="K147" i="20" s="1"/>
  <c r="K146" i="20" l="1"/>
  <c r="B148" i="20" s="1"/>
  <c r="B150" i="20" s="1"/>
  <c r="B152" i="20" s="1"/>
  <c r="E4" i="20" s="1"/>
  <c r="E6" i="20" s="1"/>
  <c r="N44" i="7" l="1"/>
  <c r="G75" i="11"/>
  <c r="H75" i="11" s="1"/>
  <c r="I75" i="11" s="1"/>
  <c r="J75" i="11" s="1"/>
  <c r="K75" i="11" s="1"/>
  <c r="E5" i="1" l="1" a="1"/>
  <c r="E5" i="1" s="1"/>
  <c r="G5" i="1" s="1"/>
  <c r="F78" i="11"/>
  <c r="B78" i="11"/>
  <c r="C76" i="11"/>
  <c r="C78" i="11" s="1"/>
  <c r="D76" i="11"/>
  <c r="D78" i="11" s="1"/>
  <c r="E76" i="11"/>
  <c r="E78" i="11" s="1"/>
  <c r="F76" i="11"/>
  <c r="H76" i="11"/>
  <c r="I76" i="11"/>
  <c r="J76" i="11"/>
  <c r="K76" i="11"/>
  <c r="K77" i="11" s="1"/>
  <c r="K78" i="11" s="1"/>
  <c r="B76" i="11"/>
  <c r="H74" i="11"/>
  <c r="I74" i="11"/>
  <c r="J74" i="11"/>
  <c r="K74" i="11"/>
  <c r="G35" i="11"/>
  <c r="G74" i="11" s="1"/>
  <c r="G76" i="11" s="1"/>
  <c r="C74" i="11"/>
  <c r="D74" i="11"/>
  <c r="E74" i="11"/>
  <c r="C75" i="11"/>
  <c r="D75" i="11"/>
  <c r="E75" i="11"/>
  <c r="C77" i="11"/>
  <c r="D77" i="11"/>
  <c r="E77" i="11"/>
  <c r="B77" i="11"/>
  <c r="B75" i="11"/>
  <c r="B74" i="11"/>
  <c r="F77" i="11"/>
  <c r="F75" i="11"/>
  <c r="F74" i="11"/>
  <c r="B92" i="11"/>
  <c r="B91" i="11"/>
  <c r="F70" i="11"/>
  <c r="F73" i="11" s="1"/>
  <c r="F87" i="11" s="1"/>
  <c r="E70" i="11"/>
  <c r="E73" i="11" s="1"/>
  <c r="E87" i="11" s="1"/>
  <c r="D70" i="11"/>
  <c r="D73" i="11" s="1"/>
  <c r="D87" i="11" s="1"/>
  <c r="C70" i="11"/>
  <c r="C73" i="11" s="1"/>
  <c r="C87" i="11" s="1"/>
  <c r="B70" i="11"/>
  <c r="B73" i="11" s="1"/>
  <c r="B87" i="11" s="1"/>
  <c r="F63" i="11"/>
  <c r="E63" i="11"/>
  <c r="D63" i="11"/>
  <c r="C63" i="11"/>
  <c r="F61" i="11"/>
  <c r="E61" i="11"/>
  <c r="D61" i="11"/>
  <c r="C61" i="11"/>
  <c r="B61" i="11"/>
  <c r="F60" i="11"/>
  <c r="E60" i="11"/>
  <c r="D60" i="11"/>
  <c r="C60" i="11"/>
  <c r="B60" i="11"/>
  <c r="F56" i="11"/>
  <c r="E56" i="11"/>
  <c r="D56" i="11"/>
  <c r="C56" i="11"/>
  <c r="B56" i="11"/>
  <c r="F55" i="11"/>
  <c r="E55" i="11"/>
  <c r="E57" i="11" s="1"/>
  <c r="D55" i="11"/>
  <c r="C55" i="11"/>
  <c r="B55" i="11"/>
  <c r="K54" i="11"/>
  <c r="J54" i="11"/>
  <c r="I54" i="11"/>
  <c r="H54" i="11"/>
  <c r="G54" i="11"/>
  <c r="F54" i="11"/>
  <c r="B98" i="11" s="1"/>
  <c r="E54" i="11"/>
  <c r="D54" i="11"/>
  <c r="C54" i="11"/>
  <c r="B54" i="11"/>
  <c r="G53" i="11"/>
  <c r="G63" i="11" s="1"/>
  <c r="G51" i="11"/>
  <c r="H51" i="11" s="1"/>
  <c r="I51" i="11" s="1"/>
  <c r="J51" i="11" s="1"/>
  <c r="K51" i="11" s="1"/>
  <c r="F46" i="11"/>
  <c r="E46" i="11"/>
  <c r="E62" i="11" s="1"/>
  <c r="D46" i="11"/>
  <c r="C46" i="11"/>
  <c r="C62" i="11" s="1"/>
  <c r="B46" i="11"/>
  <c r="B62" i="11" s="1"/>
  <c r="G44" i="11"/>
  <c r="G43" i="11"/>
  <c r="H43" i="11" s="1"/>
  <c r="I43" i="11" s="1"/>
  <c r="J43" i="11" s="1"/>
  <c r="K43" i="11" s="1"/>
  <c r="F34" i="11"/>
  <c r="E34" i="11"/>
  <c r="D34" i="11"/>
  <c r="C34" i="11"/>
  <c r="F33" i="11"/>
  <c r="E33" i="11"/>
  <c r="D33" i="11"/>
  <c r="C33" i="11"/>
  <c r="B33" i="11"/>
  <c r="F32" i="11"/>
  <c r="E32" i="11"/>
  <c r="D32" i="11"/>
  <c r="C32" i="11"/>
  <c r="F30" i="11"/>
  <c r="E30" i="11"/>
  <c r="D30" i="11"/>
  <c r="C30" i="11"/>
  <c r="F29" i="11"/>
  <c r="E29" i="11"/>
  <c r="D29" i="11"/>
  <c r="C29" i="11"/>
  <c r="B29" i="11"/>
  <c r="F28" i="11"/>
  <c r="E28" i="11"/>
  <c r="D28" i="11"/>
  <c r="C28" i="11"/>
  <c r="B28" i="11"/>
  <c r="F27" i="11"/>
  <c r="E27" i="11"/>
  <c r="D27" i="11"/>
  <c r="C27" i="11"/>
  <c r="B27" i="11"/>
  <c r="F26" i="11"/>
  <c r="E26" i="11"/>
  <c r="D26" i="11"/>
  <c r="C26" i="11"/>
  <c r="B26" i="11"/>
  <c r="F25" i="11"/>
  <c r="E25" i="11"/>
  <c r="D25" i="11"/>
  <c r="C25" i="11"/>
  <c r="B25" i="11"/>
  <c r="F24" i="11"/>
  <c r="E24" i="11"/>
  <c r="D24" i="11"/>
  <c r="C24" i="11"/>
  <c r="B24" i="11"/>
  <c r="F23" i="11"/>
  <c r="E23" i="11"/>
  <c r="D23" i="11"/>
  <c r="C23" i="11"/>
  <c r="B23" i="11"/>
  <c r="F22" i="11"/>
  <c r="E22" i="11"/>
  <c r="D22" i="11"/>
  <c r="C22" i="11"/>
  <c r="B19" i="11" a="1"/>
  <c r="B19" i="11" s="1"/>
  <c r="B17" i="11" a="1"/>
  <c r="B17" i="11" s="1"/>
  <c r="K22" i="11" s="1"/>
  <c r="B16" i="11" a="1"/>
  <c r="B16" i="11" s="1"/>
  <c r="K15" i="11"/>
  <c r="E15" i="11"/>
  <c r="B15" i="11" a="1"/>
  <c r="B15" i="11" s="1"/>
  <c r="H22" i="11" s="1"/>
  <c r="B14" i="11" a="1"/>
  <c r="B14" i="11" s="1"/>
  <c r="G22" i="11" s="1"/>
  <c r="G68" i="11" s="1"/>
  <c r="E5" i="11" a="1"/>
  <c r="E5" i="11" s="1"/>
  <c r="G50" i="1"/>
  <c r="H50" i="1" s="1"/>
  <c r="I50" i="1" s="1"/>
  <c r="J50" i="1" s="1"/>
  <c r="K50" i="1" s="1"/>
  <c r="D34" i="1"/>
  <c r="E34" i="1"/>
  <c r="F34" i="1"/>
  <c r="C34" i="1"/>
  <c r="G40" i="1"/>
  <c r="H40" i="1" s="1"/>
  <c r="I40" i="1" s="1"/>
  <c r="J40" i="1" s="1"/>
  <c r="K40" i="1" s="1"/>
  <c r="D32" i="1"/>
  <c r="E32" i="1"/>
  <c r="F32" i="1"/>
  <c r="C32" i="1"/>
  <c r="J77" i="11" l="1"/>
  <c r="J78" i="11" s="1"/>
  <c r="I77" i="11"/>
  <c r="I78" i="11" s="1"/>
  <c r="H77" i="11"/>
  <c r="H78" i="11" s="1"/>
  <c r="G77" i="11"/>
  <c r="G78" i="11" s="1"/>
  <c r="F59" i="11"/>
  <c r="F92" i="11" s="1"/>
  <c r="B57" i="11"/>
  <c r="F57" i="11"/>
  <c r="F58" i="11" s="1"/>
  <c r="F91" i="11" s="1"/>
  <c r="E64" i="11"/>
  <c r="E65" i="11" s="1"/>
  <c r="H53" i="11"/>
  <c r="B64" i="11"/>
  <c r="B65" i="11" s="1"/>
  <c r="C57" i="11"/>
  <c r="C58" i="11" s="1"/>
  <c r="C91" i="11" s="1"/>
  <c r="C59" i="11"/>
  <c r="C92" i="11" s="1"/>
  <c r="D57" i="11"/>
  <c r="E58" i="11" s="1"/>
  <c r="E91" i="11" s="1"/>
  <c r="G90" i="11"/>
  <c r="H44" i="11"/>
  <c r="G72" i="11"/>
  <c r="G69" i="11"/>
  <c r="G70" i="11" s="1"/>
  <c r="G71" i="11"/>
  <c r="G41" i="11"/>
  <c r="H68" i="11"/>
  <c r="D62" i="11"/>
  <c r="D64" i="11" s="1"/>
  <c r="D65" i="11" s="1"/>
  <c r="E59" i="11"/>
  <c r="E92" i="11" s="1"/>
  <c r="D59" i="11"/>
  <c r="D92" i="11" s="1"/>
  <c r="C64" i="11"/>
  <c r="C65" i="11" s="1"/>
  <c r="B88" i="11"/>
  <c r="B89" i="11" s="1"/>
  <c r="B93" i="11" s="1"/>
  <c r="F88" i="11"/>
  <c r="F89" i="11" s="1"/>
  <c r="J22" i="11"/>
  <c r="I22" i="11"/>
  <c r="E88" i="11"/>
  <c r="E89" i="11" s="1"/>
  <c r="G40" i="11"/>
  <c r="C88" i="11"/>
  <c r="C89" i="11" s="1"/>
  <c r="D88" i="11"/>
  <c r="D89" i="11" s="1"/>
  <c r="G45" i="11"/>
  <c r="G46" i="11" s="1"/>
  <c r="F62" i="11"/>
  <c r="F64" i="11" s="1"/>
  <c r="F65" i="11" s="1"/>
  <c r="F93" i="11" l="1"/>
  <c r="C93" i="11"/>
  <c r="E93" i="11"/>
  <c r="G73" i="11"/>
  <c r="G87" i="11" s="1"/>
  <c r="D58" i="11"/>
  <c r="D91" i="11" s="1"/>
  <c r="D93" i="11" s="1"/>
  <c r="H63" i="11"/>
  <c r="I53" i="11"/>
  <c r="G62" i="11"/>
  <c r="G59" i="11"/>
  <c r="G92" i="11" s="1"/>
  <c r="H45" i="11"/>
  <c r="H46" i="11" s="1"/>
  <c r="G42" i="11"/>
  <c r="G60" i="11" s="1"/>
  <c r="G49" i="11"/>
  <c r="I68" i="11"/>
  <c r="J68" i="11" s="1"/>
  <c r="I44" i="11"/>
  <c r="H90" i="11"/>
  <c r="H72" i="11"/>
  <c r="H69" i="11"/>
  <c r="H71" i="11"/>
  <c r="H41" i="11"/>
  <c r="H40" i="11"/>
  <c r="G64" i="11" l="1"/>
  <c r="G55" i="11"/>
  <c r="G88" i="11"/>
  <c r="G89" i="11" s="1"/>
  <c r="I63" i="11"/>
  <c r="J53" i="11"/>
  <c r="H42" i="11"/>
  <c r="H55" i="11" s="1"/>
  <c r="H49" i="11"/>
  <c r="J40" i="11"/>
  <c r="J71" i="11"/>
  <c r="J72" i="11"/>
  <c r="J69" i="11"/>
  <c r="J41" i="11"/>
  <c r="K68" i="11"/>
  <c r="G56" i="11"/>
  <c r="G57" i="11" s="1"/>
  <c r="G58" i="11" s="1"/>
  <c r="G91" i="11" s="1"/>
  <c r="G61" i="11"/>
  <c r="H62" i="11"/>
  <c r="H59" i="11"/>
  <c r="H92" i="11" s="1"/>
  <c r="I71" i="11"/>
  <c r="I41" i="11"/>
  <c r="I72" i="11"/>
  <c r="I69" i="11"/>
  <c r="I40" i="11"/>
  <c r="I45" i="11"/>
  <c r="I46" i="11" s="1"/>
  <c r="J44" i="11"/>
  <c r="I90" i="11"/>
  <c r="H70" i="11"/>
  <c r="H73" i="11" s="1"/>
  <c r="H87" i="11" s="1"/>
  <c r="G65" i="11" l="1"/>
  <c r="G93" i="11"/>
  <c r="K53" i="11"/>
  <c r="K63" i="11" s="1"/>
  <c r="J63" i="11"/>
  <c r="J90" i="11"/>
  <c r="K44" i="11"/>
  <c r="I49" i="11"/>
  <c r="I42" i="11"/>
  <c r="I60" i="11" s="1"/>
  <c r="I62" i="11"/>
  <c r="I59" i="11"/>
  <c r="I92" i="11" s="1"/>
  <c r="K72" i="11"/>
  <c r="K69" i="11"/>
  <c r="K70" i="11" s="1"/>
  <c r="K71" i="11"/>
  <c r="K41" i="11"/>
  <c r="K40" i="11"/>
  <c r="I70" i="11"/>
  <c r="I73" i="11" s="1"/>
  <c r="I87" i="11" s="1"/>
  <c r="H61" i="11"/>
  <c r="H56" i="11"/>
  <c r="H57" i="11" s="1"/>
  <c r="H58" i="11" s="1"/>
  <c r="H91" i="11" s="1"/>
  <c r="J49" i="11"/>
  <c r="J42" i="11"/>
  <c r="J55" i="11" s="1"/>
  <c r="J70" i="11"/>
  <c r="J73" i="11" s="1"/>
  <c r="J87" i="11" s="1"/>
  <c r="H88" i="11"/>
  <c r="H89" i="11" s="1"/>
  <c r="J45" i="11"/>
  <c r="H60" i="11"/>
  <c r="H64" i="11" s="1"/>
  <c r="H65" i="11" l="1"/>
  <c r="K73" i="11"/>
  <c r="K87" i="11" s="1"/>
  <c r="K88" i="11" s="1"/>
  <c r="K89" i="11" s="1"/>
  <c r="I64" i="11"/>
  <c r="I88" i="11"/>
  <c r="I89" i="11" s="1"/>
  <c r="J60" i="11"/>
  <c r="J61" i="11"/>
  <c r="J56" i="11"/>
  <c r="J57" i="11" s="1"/>
  <c r="I55" i="11"/>
  <c r="I61" i="11"/>
  <c r="I65" i="11" s="1"/>
  <c r="I56" i="11"/>
  <c r="H93" i="11"/>
  <c r="K90" i="11"/>
  <c r="J88" i="11"/>
  <c r="J89" i="11" s="1"/>
  <c r="K42" i="11"/>
  <c r="K55" i="11" s="1"/>
  <c r="K49" i="11"/>
  <c r="J46" i="11"/>
  <c r="K45" i="11" s="1"/>
  <c r="K46" i="11" s="1"/>
  <c r="I57" i="11" l="1"/>
  <c r="I58" i="11" s="1"/>
  <c r="I91" i="11" s="1"/>
  <c r="I93" i="11"/>
  <c r="J58" i="11"/>
  <c r="J91" i="11" s="1"/>
  <c r="K62" i="11"/>
  <c r="K59" i="11"/>
  <c r="K92" i="11" s="1"/>
  <c r="K60" i="11"/>
  <c r="J59" i="11"/>
  <c r="J92" i="11" s="1"/>
  <c r="J62" i="11"/>
  <c r="J64" i="11" s="1"/>
  <c r="J65" i="11" s="1"/>
  <c r="K61" i="11"/>
  <c r="K56" i="11"/>
  <c r="K57" i="11" s="1"/>
  <c r="K58" i="11" s="1"/>
  <c r="K91" i="11" s="1"/>
  <c r="J93" i="11" l="1"/>
  <c r="K93" i="11"/>
  <c r="K64" i="11"/>
  <c r="K65" i="11" s="1"/>
  <c r="E23" i="1" l="1"/>
  <c r="C33" i="1" l="1"/>
  <c r="D33" i="1"/>
  <c r="E33" i="1"/>
  <c r="F33" i="1"/>
  <c r="B33" i="1"/>
  <c r="K78" i="10"/>
  <c r="K80" i="10" s="1"/>
  <c r="H79" i="10"/>
  <c r="I79" i="10"/>
  <c r="J79" i="10"/>
  <c r="K79" i="10"/>
  <c r="G79" i="10"/>
  <c r="B76" i="10" l="1"/>
  <c r="B75" i="10"/>
  <c r="G74" i="10"/>
  <c r="C67" i="10"/>
  <c r="C71" i="10" s="1"/>
  <c r="B67" i="10"/>
  <c r="B71" i="10" s="1"/>
  <c r="F64" i="10"/>
  <c r="F67" i="10" s="1"/>
  <c r="F71" i="10" s="1"/>
  <c r="F72" i="10" s="1"/>
  <c r="F73" i="10" s="1"/>
  <c r="E64" i="10"/>
  <c r="E67" i="10" s="1"/>
  <c r="E71" i="10" s="1"/>
  <c r="D64" i="10"/>
  <c r="D67" i="10" s="1"/>
  <c r="D71" i="10" s="1"/>
  <c r="C64" i="10"/>
  <c r="B64" i="10"/>
  <c r="K57" i="10"/>
  <c r="J57" i="10"/>
  <c r="I57" i="10"/>
  <c r="H57" i="10"/>
  <c r="G57" i="10"/>
  <c r="F57" i="10"/>
  <c r="E57" i="10"/>
  <c r="D57" i="10"/>
  <c r="C57" i="10"/>
  <c r="B57" i="10"/>
  <c r="F55" i="10"/>
  <c r="E55" i="10"/>
  <c r="D55" i="10"/>
  <c r="C55" i="10"/>
  <c r="B55" i="10"/>
  <c r="F54" i="10"/>
  <c r="E54" i="10"/>
  <c r="D54" i="10"/>
  <c r="C54" i="10"/>
  <c r="B54" i="10"/>
  <c r="F50" i="10"/>
  <c r="E50" i="10"/>
  <c r="E51" i="10" s="1"/>
  <c r="D50" i="10"/>
  <c r="C50" i="10"/>
  <c r="B50" i="10"/>
  <c r="F49" i="10"/>
  <c r="E49" i="10"/>
  <c r="D49" i="10"/>
  <c r="D51" i="10" s="1"/>
  <c r="C49" i="10"/>
  <c r="C51" i="10" s="1"/>
  <c r="B49" i="10"/>
  <c r="B51" i="10" s="1"/>
  <c r="K48" i="10"/>
  <c r="J48" i="10"/>
  <c r="I48" i="10"/>
  <c r="H48" i="10"/>
  <c r="G48" i="10"/>
  <c r="F48" i="10"/>
  <c r="B82" i="10" s="1"/>
  <c r="E48" i="10"/>
  <c r="D48" i="10"/>
  <c r="C48" i="10"/>
  <c r="B48" i="10"/>
  <c r="G45" i="10"/>
  <c r="H45" i="10" s="1"/>
  <c r="I45" i="10" s="1"/>
  <c r="J45" i="10" s="1"/>
  <c r="K45" i="10" s="1"/>
  <c r="F40" i="10"/>
  <c r="F53" i="10" s="1"/>
  <c r="F76" i="10" s="1"/>
  <c r="E40" i="10"/>
  <c r="D40" i="10"/>
  <c r="D53" i="10" s="1"/>
  <c r="D76" i="10" s="1"/>
  <c r="C40" i="10"/>
  <c r="C56" i="10" s="1"/>
  <c r="B40" i="10"/>
  <c r="C53" i="10" s="1"/>
  <c r="C76" i="10" s="1"/>
  <c r="G39" i="10"/>
  <c r="G40" i="10" s="1"/>
  <c r="G38" i="10"/>
  <c r="H38" i="10" s="1"/>
  <c r="F30" i="10"/>
  <c r="E30" i="10"/>
  <c r="D30" i="10"/>
  <c r="C30" i="10"/>
  <c r="F29" i="10"/>
  <c r="E29" i="10"/>
  <c r="D29" i="10"/>
  <c r="C29" i="10"/>
  <c r="B29" i="10"/>
  <c r="F28" i="10"/>
  <c r="E28" i="10"/>
  <c r="D28" i="10"/>
  <c r="C28" i="10"/>
  <c r="B28" i="10"/>
  <c r="F27" i="10"/>
  <c r="E27" i="10"/>
  <c r="D27" i="10"/>
  <c r="C27" i="10"/>
  <c r="B27" i="10"/>
  <c r="F26" i="10"/>
  <c r="E26" i="10"/>
  <c r="D26" i="10"/>
  <c r="C26" i="10"/>
  <c r="B26" i="10"/>
  <c r="F25" i="10"/>
  <c r="E25" i="10"/>
  <c r="D25" i="10"/>
  <c r="C25" i="10"/>
  <c r="B25" i="10"/>
  <c r="F24" i="10"/>
  <c r="E24" i="10"/>
  <c r="D24" i="10"/>
  <c r="C24" i="10"/>
  <c r="B24" i="10"/>
  <c r="F23" i="10"/>
  <c r="E23" i="10"/>
  <c r="D23" i="10"/>
  <c r="C23" i="10"/>
  <c r="B23" i="10"/>
  <c r="F22" i="10"/>
  <c r="E22" i="10"/>
  <c r="D22" i="10"/>
  <c r="C22" i="10"/>
  <c r="B17" i="10" a="1"/>
  <c r="B17" i="10" s="1"/>
  <c r="K22" i="10" s="1"/>
  <c r="B16" i="10" a="1"/>
  <c r="B16" i="10" s="1"/>
  <c r="K15" i="10"/>
  <c r="E15" i="10"/>
  <c r="B15" i="10" a="1"/>
  <c r="B15" i="10" s="1"/>
  <c r="H22" i="10" s="1"/>
  <c r="B14" i="10" a="1"/>
  <c r="B14" i="10" s="1"/>
  <c r="G22" i="10" s="1"/>
  <c r="G62" i="10" s="1"/>
  <c r="E5" i="10" a="1"/>
  <c r="E5" i="10" s="1"/>
  <c r="N39" i="7"/>
  <c r="C16" i="4"/>
  <c r="C3" i="4" s="1"/>
  <c r="B16" i="4"/>
  <c r="C22" i="1"/>
  <c r="D16" i="4"/>
  <c r="D13" i="4"/>
  <c r="D15" i="4" s="1"/>
  <c r="C13" i="4"/>
  <c r="D12" i="4"/>
  <c r="C12" i="4"/>
  <c r="B12" i="4"/>
  <c r="D11" i="4"/>
  <c r="C11" i="4"/>
  <c r="B11" i="4"/>
  <c r="B13" i="4" s="1"/>
  <c r="B15" i="4" s="1"/>
  <c r="D9" i="4"/>
  <c r="C9" i="4"/>
  <c r="B9" i="4"/>
  <c r="T39" i="7"/>
  <c r="R39" i="7"/>
  <c r="Q39" i="7"/>
  <c r="P39" i="7"/>
  <c r="O39" i="7"/>
  <c r="B14" i="1" a="1"/>
  <c r="B14" i="1" s="1"/>
  <c r="G22" i="1" s="1"/>
  <c r="B19" i="1" a="1"/>
  <c r="B19" i="1" s="1"/>
  <c r="B17" i="1" a="1"/>
  <c r="B17" i="1" s="1"/>
  <c r="K22" i="1" s="1"/>
  <c r="B16" i="1" a="1"/>
  <c r="B16" i="1" s="1"/>
  <c r="I22" i="1" s="1"/>
  <c r="B15" i="1" a="1"/>
  <c r="B15" i="1" s="1"/>
  <c r="H22" i="1" s="1"/>
  <c r="H15" i="11" l="1"/>
  <c r="B18" i="11" s="1" a="1"/>
  <c r="B18" i="11" s="1"/>
  <c r="H15" i="10"/>
  <c r="D52" i="10"/>
  <c r="D75" i="10" s="1"/>
  <c r="C58" i="10"/>
  <c r="C59" i="10" s="1"/>
  <c r="E52" i="10"/>
  <c r="E75" i="10" s="1"/>
  <c r="B56" i="10"/>
  <c r="B58" i="10" s="1"/>
  <c r="B59" i="10" s="1"/>
  <c r="F51" i="10"/>
  <c r="F52" i="10" s="1"/>
  <c r="F75" i="10" s="1"/>
  <c r="F77" i="10" s="1"/>
  <c r="D56" i="10"/>
  <c r="E53" i="10"/>
  <c r="E76" i="10" s="1"/>
  <c r="D58" i="10"/>
  <c r="D59" i="10" s="1"/>
  <c r="I22" i="10"/>
  <c r="J22" i="10"/>
  <c r="B72" i="10"/>
  <c r="B73" i="10"/>
  <c r="B77" i="10" s="1"/>
  <c r="C72" i="10"/>
  <c r="C73" i="10" s="1"/>
  <c r="C77" i="10" s="1"/>
  <c r="D72" i="10"/>
  <c r="D73" i="10" s="1"/>
  <c r="D77" i="10" s="1"/>
  <c r="G56" i="10"/>
  <c r="G53" i="10"/>
  <c r="G76" i="10" s="1"/>
  <c r="G63" i="10"/>
  <c r="G35" i="10"/>
  <c r="G66" i="10"/>
  <c r="G34" i="10"/>
  <c r="G37" i="10"/>
  <c r="H62" i="10"/>
  <c r="E72" i="10"/>
  <c r="E73" i="10"/>
  <c r="E58" i="10"/>
  <c r="E59" i="10" s="1"/>
  <c r="C52" i="10"/>
  <c r="C75" i="10" s="1"/>
  <c r="I38" i="10"/>
  <c r="H74" i="10"/>
  <c r="H39" i="10"/>
  <c r="E56" i="10"/>
  <c r="F56" i="10"/>
  <c r="F58" i="10" s="1"/>
  <c r="F59" i="10" s="1"/>
  <c r="C15" i="4"/>
  <c r="J22" i="1"/>
  <c r="M7" i="7"/>
  <c r="G95" i="11" l="1"/>
  <c r="H95" i="11"/>
  <c r="K95" i="11"/>
  <c r="I95" i="11"/>
  <c r="J95" i="11"/>
  <c r="K94" i="11"/>
  <c r="K96" i="11" s="1"/>
  <c r="E77" i="10"/>
  <c r="G36" i="10"/>
  <c r="G43" i="10"/>
  <c r="H63" i="10"/>
  <c r="H35" i="10"/>
  <c r="H66" i="10"/>
  <c r="H34" i="10"/>
  <c r="H64" i="10"/>
  <c r="H67" i="10" s="1"/>
  <c r="H71" i="10" s="1"/>
  <c r="H37" i="10"/>
  <c r="I74" i="10"/>
  <c r="J38" i="10"/>
  <c r="G49" i="10"/>
  <c r="H40" i="10"/>
  <c r="G64" i="10"/>
  <c r="G67" i="10" s="1"/>
  <c r="G71" i="10" s="1"/>
  <c r="G54" i="10"/>
  <c r="G58" i="10" s="1"/>
  <c r="I62" i="10"/>
  <c r="J62" i="10" s="1"/>
  <c r="D5" i="4"/>
  <c r="C5" i="4"/>
  <c r="B5" i="4"/>
  <c r="D4" i="4"/>
  <c r="D3" i="4" s="1"/>
  <c r="K15" i="1" s="1"/>
  <c r="C4" i="4"/>
  <c r="H15" i="1" s="1"/>
  <c r="B18" i="1" s="1" a="1"/>
  <c r="B18" i="1" s="1"/>
  <c r="B4" i="4"/>
  <c r="B3" i="4" s="1"/>
  <c r="E15" i="1" s="1"/>
  <c r="B97" i="11" l="1"/>
  <c r="B99" i="11" s="1"/>
  <c r="B101" i="11" s="1"/>
  <c r="E4" i="11" s="1"/>
  <c r="E6" i="11" s="1"/>
  <c r="G72" i="10"/>
  <c r="G73" i="10" s="1"/>
  <c r="H56" i="10"/>
  <c r="H53" i="10"/>
  <c r="H76" i="10" s="1"/>
  <c r="I39" i="10"/>
  <c r="I66" i="10"/>
  <c r="I63" i="10"/>
  <c r="I64" i="10" s="1"/>
  <c r="I35" i="10"/>
  <c r="I34" i="10"/>
  <c r="I37" i="10"/>
  <c r="G55" i="10"/>
  <c r="G59" i="10" s="1"/>
  <c r="G50" i="10"/>
  <c r="G51" i="10" s="1"/>
  <c r="G52" i="10" s="1"/>
  <c r="G75" i="10" s="1"/>
  <c r="H72" i="10"/>
  <c r="H73" i="10" s="1"/>
  <c r="J34" i="10"/>
  <c r="J63" i="10"/>
  <c r="J64" i="10" s="1"/>
  <c r="J35" i="10"/>
  <c r="J66" i="10"/>
  <c r="J37" i="10"/>
  <c r="K62" i="10"/>
  <c r="J74" i="10"/>
  <c r="K38" i="10"/>
  <c r="H36" i="10"/>
  <c r="H54" i="10" s="1"/>
  <c r="H58" i="10" s="1"/>
  <c r="H43" i="10"/>
  <c r="B79" i="1"/>
  <c r="B78" i="1"/>
  <c r="F67" i="1"/>
  <c r="E67" i="1"/>
  <c r="D67" i="1"/>
  <c r="C67" i="1"/>
  <c r="B67" i="1"/>
  <c r="G65" i="1"/>
  <c r="K60" i="1"/>
  <c r="J60" i="1"/>
  <c r="I60" i="1"/>
  <c r="H60" i="1"/>
  <c r="G60" i="1"/>
  <c r="F60" i="1"/>
  <c r="E60" i="1"/>
  <c r="D60" i="1"/>
  <c r="C60" i="1"/>
  <c r="B60" i="1"/>
  <c r="F58" i="1"/>
  <c r="E58" i="1"/>
  <c r="D58" i="1"/>
  <c r="C58" i="1"/>
  <c r="B58" i="1"/>
  <c r="F57" i="1"/>
  <c r="E57" i="1"/>
  <c r="D57" i="1"/>
  <c r="C57" i="1"/>
  <c r="B57" i="1"/>
  <c r="F53" i="1"/>
  <c r="E53" i="1"/>
  <c r="D53" i="1"/>
  <c r="C53" i="1"/>
  <c r="B53" i="1"/>
  <c r="F52" i="1"/>
  <c r="E52" i="1"/>
  <c r="D52" i="1"/>
  <c r="C52" i="1"/>
  <c r="B52" i="1"/>
  <c r="K51" i="1"/>
  <c r="J51" i="1"/>
  <c r="I51" i="1"/>
  <c r="H51" i="1"/>
  <c r="G51" i="1"/>
  <c r="B93" i="1" s="1"/>
  <c r="F51" i="1"/>
  <c r="B85" i="1" s="1"/>
  <c r="E51" i="1"/>
  <c r="D51" i="1"/>
  <c r="C51" i="1"/>
  <c r="B51" i="1"/>
  <c r="G48" i="1"/>
  <c r="H48" i="1" s="1"/>
  <c r="I48" i="1" s="1"/>
  <c r="J48" i="1" s="1"/>
  <c r="K48" i="1" s="1"/>
  <c r="F43" i="1"/>
  <c r="G42" i="1" s="1"/>
  <c r="E43" i="1"/>
  <c r="D43" i="1"/>
  <c r="D59" i="1" s="1"/>
  <c r="C43" i="1"/>
  <c r="B43" i="1"/>
  <c r="B59" i="1" s="1"/>
  <c r="G41" i="1"/>
  <c r="F30" i="1"/>
  <c r="E30" i="1"/>
  <c r="D30" i="1"/>
  <c r="C30" i="1"/>
  <c r="F29" i="1"/>
  <c r="E29" i="1"/>
  <c r="D29" i="1"/>
  <c r="C29" i="1"/>
  <c r="B29" i="1"/>
  <c r="F28" i="1"/>
  <c r="E28" i="1"/>
  <c r="D28" i="1"/>
  <c r="C28" i="1"/>
  <c r="B28" i="1"/>
  <c r="F27" i="1"/>
  <c r="E27" i="1"/>
  <c r="D27" i="1"/>
  <c r="C27" i="1"/>
  <c r="B27" i="1"/>
  <c r="F26" i="1"/>
  <c r="E26" i="1"/>
  <c r="D26" i="1"/>
  <c r="C26" i="1"/>
  <c r="B26" i="1"/>
  <c r="F25" i="1"/>
  <c r="E25" i="1"/>
  <c r="D25" i="1"/>
  <c r="C25" i="1"/>
  <c r="B25" i="1"/>
  <c r="F24" i="1"/>
  <c r="E24" i="1"/>
  <c r="D24" i="1"/>
  <c r="C24" i="1"/>
  <c r="B24" i="1"/>
  <c r="F23" i="1"/>
  <c r="D23" i="1"/>
  <c r="C23" i="1"/>
  <c r="B23" i="1"/>
  <c r="E22" i="1"/>
  <c r="D22" i="1"/>
  <c r="C56" i="1" l="1"/>
  <c r="H49" i="10"/>
  <c r="J67" i="10"/>
  <c r="J71" i="10" s="1"/>
  <c r="J72" i="10"/>
  <c r="J73" i="10"/>
  <c r="G77" i="10"/>
  <c r="H55" i="10"/>
  <c r="H59" i="10" s="1"/>
  <c r="H50" i="10"/>
  <c r="H51" i="10" s="1"/>
  <c r="H52" i="10" s="1"/>
  <c r="H75" i="10" s="1"/>
  <c r="H77" i="10" s="1"/>
  <c r="I54" i="10"/>
  <c r="I40" i="10"/>
  <c r="I67" i="10"/>
  <c r="I71" i="10" s="1"/>
  <c r="J36" i="10"/>
  <c r="J49" i="10" s="1"/>
  <c r="J43" i="10"/>
  <c r="K74" i="10"/>
  <c r="K34" i="10"/>
  <c r="K37" i="10"/>
  <c r="K63" i="10"/>
  <c r="K35" i="10"/>
  <c r="K66" i="10"/>
  <c r="I36" i="10"/>
  <c r="I49" i="10" s="1"/>
  <c r="I43" i="10"/>
  <c r="G66" i="1"/>
  <c r="G46" i="1" s="1"/>
  <c r="G53" i="1" s="1"/>
  <c r="B70" i="1"/>
  <c r="B74" i="1" s="1"/>
  <c r="B75" i="1" s="1"/>
  <c r="C70" i="1"/>
  <c r="C74" i="1" s="1"/>
  <c r="D70" i="1"/>
  <c r="D74" i="1" s="1"/>
  <c r="D75" i="1" s="1"/>
  <c r="F70" i="1"/>
  <c r="F74" i="1" s="1"/>
  <c r="E70" i="1"/>
  <c r="E74" i="1" s="1"/>
  <c r="E75" i="1" s="1"/>
  <c r="B54" i="1"/>
  <c r="C54" i="1"/>
  <c r="D54" i="1"/>
  <c r="D55" i="1" s="1"/>
  <c r="D78" i="1" s="1"/>
  <c r="E56" i="1"/>
  <c r="E79" i="1" s="1"/>
  <c r="F54" i="1"/>
  <c r="G69" i="1"/>
  <c r="G43" i="1"/>
  <c r="B61" i="1"/>
  <c r="B62" i="1" s="1"/>
  <c r="E59" i="1"/>
  <c r="E61" i="1" s="1"/>
  <c r="E62" i="1" s="1"/>
  <c r="D56" i="1"/>
  <c r="E54" i="1"/>
  <c r="F59" i="1"/>
  <c r="F61" i="1" s="1"/>
  <c r="F62" i="1" s="1"/>
  <c r="F56" i="1"/>
  <c r="F79" i="1" s="1"/>
  <c r="D61" i="1"/>
  <c r="D62" i="1" s="1"/>
  <c r="G38" i="1"/>
  <c r="H65" i="1"/>
  <c r="H68" i="1" s="1"/>
  <c r="G77" i="1"/>
  <c r="G37" i="1"/>
  <c r="H41" i="1"/>
  <c r="C59" i="1"/>
  <c r="C61" i="1" s="1"/>
  <c r="C62" i="1" s="1"/>
  <c r="G59" i="1" l="1"/>
  <c r="G56" i="1"/>
  <c r="G79" i="1" s="1"/>
  <c r="G67" i="1"/>
  <c r="G39" i="1"/>
  <c r="G52" i="1" s="1"/>
  <c r="K36" i="10"/>
  <c r="K49" i="10" s="1"/>
  <c r="K43" i="10"/>
  <c r="I72" i="10"/>
  <c r="I73" i="10" s="1"/>
  <c r="I53" i="10"/>
  <c r="I76" i="10" s="1"/>
  <c r="I56" i="10"/>
  <c r="I58" i="10" s="1"/>
  <c r="I59" i="10" s="1"/>
  <c r="J54" i="10"/>
  <c r="K64" i="10"/>
  <c r="K67" i="10" s="1"/>
  <c r="K71" i="10" s="1"/>
  <c r="K54" i="10"/>
  <c r="I55" i="10"/>
  <c r="I50" i="10"/>
  <c r="I51" i="10" s="1"/>
  <c r="I52" i="10" s="1"/>
  <c r="I75" i="10" s="1"/>
  <c r="J39" i="10"/>
  <c r="J55" i="10"/>
  <c r="J50" i="10"/>
  <c r="J51" i="10" s="1"/>
  <c r="J52" i="10" s="1"/>
  <c r="J75" i="10" s="1"/>
  <c r="C55" i="1"/>
  <c r="C78" i="1" s="1"/>
  <c r="E55" i="1"/>
  <c r="E78" i="1" s="1"/>
  <c r="F75" i="1"/>
  <c r="F76" i="1" s="1"/>
  <c r="C75" i="1"/>
  <c r="C76" i="1" s="1"/>
  <c r="D79" i="1"/>
  <c r="H42" i="1"/>
  <c r="H43" i="1" s="1"/>
  <c r="D76" i="1"/>
  <c r="E76" i="1"/>
  <c r="F55" i="1"/>
  <c r="F78" i="1" s="1"/>
  <c r="I65" i="1"/>
  <c r="I68" i="1" s="1"/>
  <c r="H37" i="1"/>
  <c r="H38" i="1"/>
  <c r="H69" i="1"/>
  <c r="H66" i="1"/>
  <c r="H67" i="1" s="1"/>
  <c r="C79" i="1"/>
  <c r="I41" i="1"/>
  <c r="H77" i="1"/>
  <c r="G58" i="1"/>
  <c r="B76" i="1"/>
  <c r="B80" i="1" s="1"/>
  <c r="G57" i="1" l="1"/>
  <c r="G61" i="1" s="1"/>
  <c r="G62" i="1" s="1"/>
  <c r="F80" i="1"/>
  <c r="E80" i="1"/>
  <c r="I77" i="10"/>
  <c r="J40" i="10"/>
  <c r="K39" i="10" s="1"/>
  <c r="K40" i="10" s="1"/>
  <c r="K72" i="10"/>
  <c r="K73" i="10"/>
  <c r="K55" i="10"/>
  <c r="K50" i="10"/>
  <c r="K51" i="10" s="1"/>
  <c r="K52" i="10" s="1"/>
  <c r="K75" i="10" s="1"/>
  <c r="H70" i="1"/>
  <c r="H74" i="1" s="1"/>
  <c r="G54" i="1"/>
  <c r="G55" i="1" s="1"/>
  <c r="G78" i="1" s="1"/>
  <c r="D80" i="1"/>
  <c r="C80" i="1"/>
  <c r="J41" i="1"/>
  <c r="I77" i="1"/>
  <c r="I37" i="1"/>
  <c r="J65" i="1"/>
  <c r="J68" i="1" s="1"/>
  <c r="I38" i="1"/>
  <c r="I69" i="1"/>
  <c r="I66" i="1"/>
  <c r="H59" i="1"/>
  <c r="H56" i="1"/>
  <c r="I42" i="1"/>
  <c r="H46" i="1"/>
  <c r="H39" i="1"/>
  <c r="H52" i="1" s="1"/>
  <c r="K53" i="10" l="1"/>
  <c r="K76" i="10" s="1"/>
  <c r="K56" i="10"/>
  <c r="K58" i="10" s="1"/>
  <c r="K59" i="10" s="1"/>
  <c r="K77" i="10"/>
  <c r="J53" i="10"/>
  <c r="J76" i="10" s="1"/>
  <c r="J77" i="10" s="1"/>
  <c r="J56" i="10"/>
  <c r="J58" i="10" s="1"/>
  <c r="J59" i="10" s="1"/>
  <c r="H57" i="1"/>
  <c r="H61" i="1" s="1"/>
  <c r="H53" i="1"/>
  <c r="H54" i="1" s="1"/>
  <c r="H55" i="1" s="1"/>
  <c r="H78" i="1" s="1"/>
  <c r="H58" i="1"/>
  <c r="H79" i="1"/>
  <c r="H75" i="1"/>
  <c r="H76" i="1" s="1"/>
  <c r="I43" i="1"/>
  <c r="J42" i="1" s="1"/>
  <c r="J43" i="1" s="1"/>
  <c r="J37" i="1"/>
  <c r="J69" i="1"/>
  <c r="K65" i="1"/>
  <c r="K68" i="1" s="1"/>
  <c r="J38" i="1"/>
  <c r="J66" i="1"/>
  <c r="J67" i="1" s="1"/>
  <c r="I46" i="1"/>
  <c r="I39" i="1"/>
  <c r="I52" i="1" s="1"/>
  <c r="J77" i="1"/>
  <c r="K41" i="1"/>
  <c r="I67" i="1"/>
  <c r="J70" i="1" l="1"/>
  <c r="J74" i="1" s="1"/>
  <c r="J75" i="1" s="1"/>
  <c r="J76" i="1" s="1"/>
  <c r="I70" i="1"/>
  <c r="I74" i="1" s="1"/>
  <c r="I75" i="1" s="1"/>
  <c r="I76" i="1" s="1"/>
  <c r="H80" i="1"/>
  <c r="I57" i="1"/>
  <c r="J59" i="1"/>
  <c r="J56" i="1"/>
  <c r="K38" i="1"/>
  <c r="K66" i="1"/>
  <c r="K69" i="1"/>
  <c r="K37" i="1"/>
  <c r="J46" i="1"/>
  <c r="J39" i="1"/>
  <c r="J57" i="1" s="1"/>
  <c r="I53" i="1"/>
  <c r="I54" i="1" s="1"/>
  <c r="I55" i="1" s="1"/>
  <c r="I78" i="1" s="1"/>
  <c r="I58" i="1"/>
  <c r="H62" i="1"/>
  <c r="K42" i="1"/>
  <c r="K43" i="1" s="1"/>
  <c r="K77" i="1"/>
  <c r="I59" i="1"/>
  <c r="I56" i="1"/>
  <c r="H82" i="1" l="1"/>
  <c r="B81" i="10"/>
  <c r="B83" i="10" s="1"/>
  <c r="B85" i="10" s="1"/>
  <c r="O12" i="10" s="1"/>
  <c r="I61" i="1"/>
  <c r="I62" i="1" s="1"/>
  <c r="J61" i="1"/>
  <c r="J52" i="1"/>
  <c r="K46" i="1"/>
  <c r="K39" i="1"/>
  <c r="K57" i="1" s="1"/>
  <c r="I79" i="1"/>
  <c r="I80" i="1" s="1"/>
  <c r="K59" i="1"/>
  <c r="K56" i="1"/>
  <c r="J53" i="1"/>
  <c r="J58" i="1"/>
  <c r="K67" i="1"/>
  <c r="J79" i="1"/>
  <c r="I82" i="1" l="1"/>
  <c r="I90" i="1"/>
  <c r="E4" i="10"/>
  <c r="E6" i="10" s="1"/>
  <c r="J62" i="1"/>
  <c r="J54" i="1"/>
  <c r="J55" i="1" s="1"/>
  <c r="J78" i="1" s="1"/>
  <c r="J80" i="1" s="1"/>
  <c r="K70" i="1"/>
  <c r="K74" i="1" s="1"/>
  <c r="K61" i="1"/>
  <c r="K58" i="1"/>
  <c r="K53" i="1"/>
  <c r="K52" i="1"/>
  <c r="K79" i="1"/>
  <c r="J82" i="1" l="1"/>
  <c r="J90" i="1"/>
  <c r="K75" i="1"/>
  <c r="K76" i="1" s="1"/>
  <c r="K62" i="1"/>
  <c r="K54" i="1"/>
  <c r="K55" i="1" s="1"/>
  <c r="K78" i="1" s="1"/>
  <c r="K80" i="1" l="1"/>
  <c r="K90" i="1" s="1"/>
  <c r="K81" i="1" l="1"/>
  <c r="K83" i="1" s="1"/>
  <c r="K82" i="1"/>
  <c r="B92" i="1" l="1"/>
  <c r="B94" i="1" s="1"/>
  <c r="B96" i="1" s="1"/>
  <c r="G68" i="1"/>
  <c r="G70" i="1" s="1"/>
  <c r="G74" i="1" s="1"/>
  <c r="G75" i="1" l="1"/>
  <c r="G76" i="1" s="1"/>
  <c r="G80" i="1" s="1"/>
  <c r="G82" i="1" l="1"/>
  <c r="B84" i="1" s="1"/>
  <c r="B86" i="1" s="1"/>
  <c r="B88" i="1" s="1"/>
  <c r="E4" i="1" s="1"/>
  <c r="E6" i="1" s="1"/>
  <c r="G90" i="1"/>
  <c r="H90" i="1"/>
  <c r="J94" i="1"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2"/>
        </ext>
      </extLst>
    </bk>
  </futureMetadata>
  <cellMetadata count="1">
    <bk>
      <rc t="1" v="0"/>
    </bk>
  </cellMetadata>
  <valueMetadata count="1">
    <bk>
      <rc t="2" v="0"/>
    </bk>
  </valueMetadata>
</metadata>
</file>

<file path=xl/sharedStrings.xml><?xml version="1.0" encoding="utf-8"?>
<sst xmlns="http://schemas.openxmlformats.org/spreadsheetml/2006/main" count="2337" uniqueCount="746">
  <si>
    <t>Base Case DCF Scenario</t>
  </si>
  <si>
    <t xml:space="preserve">Global economic growth is stable and normalized. </t>
  </si>
  <si>
    <t xml:space="preserve">Revenues are forecasted based on the previous year’s earning ability and 2024 management earning guidance. </t>
  </si>
  <si>
    <t>No major geopolitical risk globally, especially in China and USA</t>
  </si>
  <si>
    <t xml:space="preserve">USA inflation will be reducing, and Federal Reserve will adjust interest rate downward in 2024. The average of next 5 years’ WACC is 7.85% </t>
  </si>
  <si>
    <t>Industry competition is limited and no major challenges, management earning expectation can be achieved and predictable.</t>
  </si>
  <si>
    <t>Terminal growth at 2.5%</t>
  </si>
  <si>
    <t>Bull DCF Scenario</t>
  </si>
  <si>
    <t>All assumptions remain the same except</t>
  </si>
  <si>
    <r>
      <rPr>
        <sz val="12"/>
        <color rgb="FF0D0D0D"/>
        <rFont val="Arial"/>
        <family val="2"/>
      </rPr>
      <t>Revenue growth exceeds earnings expectations slightly</t>
    </r>
    <r>
      <rPr>
        <sz val="12"/>
        <color theme="1"/>
        <rFont val="Aptos"/>
      </rPr>
      <t>.</t>
    </r>
  </si>
  <si>
    <t>Starbucks maintains its market leadership in the F&amp;B industry.</t>
  </si>
  <si>
    <t>WACC is slightly lower due to the decreased cost of debt.</t>
  </si>
  <si>
    <t>Terminal growth at 3%.</t>
  </si>
  <si>
    <t>Bear DCF Scenario</t>
  </si>
  <si>
    <t>Starbucks faces severe challenges from other players in the market.</t>
  </si>
  <si>
    <r>
      <rPr>
        <sz val="12"/>
        <color rgb="FF0D0D0D"/>
        <rFont val="Arial"/>
        <family val="2"/>
      </rPr>
      <t>Revenue growth falls below management expectations</t>
    </r>
    <r>
      <rPr>
        <sz val="12"/>
        <color theme="1"/>
        <rFont val="Aptos"/>
      </rPr>
      <t>.</t>
    </r>
  </si>
  <si>
    <r>
      <rPr>
        <sz val="7"/>
        <color theme="1"/>
        <rFont val="Times New Roman"/>
        <family val="1"/>
      </rPr>
      <t xml:space="preserve"> </t>
    </r>
    <r>
      <rPr>
        <sz val="12"/>
        <color theme="1"/>
        <rFont val="Aptos"/>
      </rPr>
      <t>WACC maintains at current level, Federal Reserve will not cut interest rates.</t>
    </r>
  </si>
  <si>
    <t>Terminal growth at 2%.</t>
  </si>
  <si>
    <t>DDM Assumption</t>
  </si>
  <si>
    <t>Two stages DDM model, the dividend growth at 5% per year until 5 years later (2028). The growth rate will decrease to 3% after 2028.</t>
  </si>
  <si>
    <t>Cost of equity at 9%</t>
  </si>
  <si>
    <t>Recommendation</t>
  </si>
  <si>
    <t>:</t>
  </si>
  <si>
    <t>The Bull Case</t>
  </si>
  <si>
    <t>the dominant player in the world currently</t>
  </si>
  <si>
    <t>The Bear Case</t>
  </si>
  <si>
    <t>Facing more competition globally</t>
  </si>
  <si>
    <t>Notes and Reminders</t>
  </si>
  <si>
    <t xml:space="preserve">SBUX </t>
  </si>
  <si>
    <t>In Thousands of USD except Per Share</t>
  </si>
  <si>
    <t>Ticker</t>
  </si>
  <si>
    <t>Implied Share Price</t>
  </si>
  <si>
    <t>Date</t>
  </si>
  <si>
    <t>Current Share Price</t>
  </si>
  <si>
    <t>Year end</t>
  </si>
  <si>
    <t>Implied Gain / (Loss)</t>
  </si>
  <si>
    <t>Assumptions</t>
  </si>
  <si>
    <t>Switches</t>
  </si>
  <si>
    <t>Conservative</t>
  </si>
  <si>
    <t>Street / Base</t>
  </si>
  <si>
    <t>Optimistic</t>
  </si>
  <si>
    <t>Revenue</t>
  </si>
  <si>
    <t>Revenue '24-'25</t>
  </si>
  <si>
    <t>WACC</t>
  </si>
  <si>
    <t>Revenue '25-'26</t>
  </si>
  <si>
    <t>TGR</t>
  </si>
  <si>
    <t>Revenue '26-'27</t>
  </si>
  <si>
    <t>Revenue '27-'28</t>
  </si>
  <si>
    <t>g</t>
  </si>
  <si>
    <t>DCF</t>
  </si>
  <si>
    <t>FY 2019</t>
  </si>
  <si>
    <t>FY 2020</t>
  </si>
  <si>
    <t>FY 2021</t>
  </si>
  <si>
    <t>FY 2022</t>
  </si>
  <si>
    <t>FY 2023</t>
  </si>
  <si>
    <t>FY 2024F</t>
  </si>
  <si>
    <t>FY 2025F</t>
  </si>
  <si>
    <t>FY 2026F</t>
  </si>
  <si>
    <t>FY 2027F</t>
  </si>
  <si>
    <t>FY 2028F</t>
  </si>
  <si>
    <t>Revenue growth</t>
  </si>
  <si>
    <t>COGS/Revenue</t>
  </si>
  <si>
    <t>SG&amp;A/Revenue</t>
  </si>
  <si>
    <t>Depreciation/Fixed Assets</t>
  </si>
  <si>
    <t>Inventory/COGS</t>
  </si>
  <si>
    <t>Accounts Receivables/Sales</t>
  </si>
  <si>
    <t>Accounts payable/COGS</t>
  </si>
  <si>
    <t>Cash/Sales</t>
  </si>
  <si>
    <t>Fixed Asset Growth</t>
  </si>
  <si>
    <t>TAX</t>
  </si>
  <si>
    <t>Other  ST asset growth rate</t>
  </si>
  <si>
    <t>Other Operating Income/Rev</t>
  </si>
  <si>
    <t>Other LT Liability growth rate</t>
  </si>
  <si>
    <t>Balance Sheet</t>
  </si>
  <si>
    <t>Cash &amp; Cash Equivalents</t>
  </si>
  <si>
    <t>Accounts Receivables</t>
  </si>
  <si>
    <t>Inventory</t>
  </si>
  <si>
    <t>Other ST Assets</t>
  </si>
  <si>
    <t>Fixed Asset</t>
  </si>
  <si>
    <t>Accumulated Dep</t>
  </si>
  <si>
    <t>Fixed Asset Net</t>
  </si>
  <si>
    <t>LT Investments &amp; Receivables</t>
  </si>
  <si>
    <t>Other LT Assets</t>
  </si>
  <si>
    <t>Payables &amp; Accruals</t>
  </si>
  <si>
    <t>Short Term Debt</t>
  </si>
  <si>
    <t>Other ST Liability</t>
  </si>
  <si>
    <t>Long term Debt</t>
  </si>
  <si>
    <t>Other LT Liability</t>
  </si>
  <si>
    <t>Total Debt</t>
  </si>
  <si>
    <t>Op CA</t>
  </si>
  <si>
    <t>Op CL</t>
  </si>
  <si>
    <t>Op NWC</t>
  </si>
  <si>
    <t>Change in NWC</t>
  </si>
  <si>
    <t>Capex</t>
  </si>
  <si>
    <t>Total Current Asset</t>
  </si>
  <si>
    <t>Total Current Liability</t>
  </si>
  <si>
    <t>Total Non-Current Asset</t>
  </si>
  <si>
    <t>Total Non-Current Liability</t>
  </si>
  <si>
    <t>Total Assets</t>
  </si>
  <si>
    <t>Total Equity</t>
  </si>
  <si>
    <t>Income Statement</t>
  </si>
  <si>
    <t>-Cost of Goods sold</t>
  </si>
  <si>
    <t>Gross Profit</t>
  </si>
  <si>
    <t>+Other Operating Income</t>
  </si>
  <si>
    <t xml:space="preserve">-Operating Expenses </t>
  </si>
  <si>
    <t>EBIT</t>
  </si>
  <si>
    <t>FCFF</t>
  </si>
  <si>
    <t>=EBIT</t>
  </si>
  <si>
    <t>-Taxes</t>
  </si>
  <si>
    <t>=NOPAT</t>
  </si>
  <si>
    <t>+Depreciation</t>
  </si>
  <si>
    <t>-Increasing in Working Capital</t>
  </si>
  <si>
    <t>-Capital Expenditures</t>
  </si>
  <si>
    <t>Terminal Value</t>
  </si>
  <si>
    <t>Discounted FCFF</t>
  </si>
  <si>
    <t>Discounted Terminal Value</t>
  </si>
  <si>
    <t>Value of Firm</t>
  </si>
  <si>
    <t xml:space="preserve">Value of Debt </t>
  </si>
  <si>
    <t>Value of Equity</t>
  </si>
  <si>
    <t>Number of  Shares</t>
  </si>
  <si>
    <t>Value of stock</t>
  </si>
  <si>
    <t>12month target price</t>
  </si>
  <si>
    <t>Projected FCFF</t>
  </si>
  <si>
    <t>Bull</t>
  </si>
  <si>
    <t>Base</t>
  </si>
  <si>
    <t>Bear</t>
  </si>
  <si>
    <t>12-Month target price</t>
  </si>
  <si>
    <t>Snapshot</t>
  </si>
  <si>
    <t>SBUX</t>
  </si>
  <si>
    <t>Industry</t>
  </si>
  <si>
    <t>Restaurants</t>
  </si>
  <si>
    <t>Market Value (m)</t>
  </si>
  <si>
    <t>Shares Outstanding (m)</t>
  </si>
  <si>
    <t>52-week high</t>
  </si>
  <si>
    <t>52-week low</t>
  </si>
  <si>
    <t>Beta</t>
  </si>
  <si>
    <t>Annual Dividend</t>
  </si>
  <si>
    <t>FCFF DCF</t>
  </si>
  <si>
    <t>Upside Potential</t>
  </si>
  <si>
    <t>Revenue CAGR</t>
  </si>
  <si>
    <t>12-Month-Target Price</t>
  </si>
  <si>
    <t>FCFF CAGR</t>
  </si>
  <si>
    <t>PEG Ratio</t>
  </si>
  <si>
    <t>Terminal Grwoth Rate</t>
  </si>
  <si>
    <t>Buy</t>
  </si>
  <si>
    <t>12-Month Target Price</t>
  </si>
  <si>
    <t>Upside(downside)</t>
  </si>
  <si>
    <t>Wd</t>
  </si>
  <si>
    <t>We</t>
  </si>
  <si>
    <t>Risk Free Rate</t>
  </si>
  <si>
    <t>Expected Market Return</t>
  </si>
  <si>
    <t xml:space="preserve"> </t>
  </si>
  <si>
    <t>Effective Tax Rate</t>
  </si>
  <si>
    <t>Market Cap</t>
  </si>
  <si>
    <t>Long Term Debt</t>
  </si>
  <si>
    <t>Preferred Equity</t>
  </si>
  <si>
    <t>Company Value</t>
  </si>
  <si>
    <t>CAPM</t>
  </si>
  <si>
    <t>Note Rate</t>
  </si>
  <si>
    <t>FY 2024</t>
  </si>
  <si>
    <t>FY 2025</t>
  </si>
  <si>
    <t>FY 2026</t>
  </si>
  <si>
    <t>FY 2027</t>
  </si>
  <si>
    <t>FY 2028</t>
  </si>
  <si>
    <t>Cost of debt*Net debt</t>
  </si>
  <si>
    <t>Other non-op income</t>
  </si>
  <si>
    <t xml:space="preserve">-Interest Expenses </t>
  </si>
  <si>
    <t>Total EBT</t>
  </si>
  <si>
    <t xml:space="preserve">-tax expense </t>
  </si>
  <si>
    <t>Net Income</t>
  </si>
  <si>
    <t xml:space="preserve">Base Case </t>
  </si>
  <si>
    <t>Total Revenue growth</t>
  </si>
  <si>
    <t>Tax</t>
  </si>
  <si>
    <t>Interest Expense (Cost of debt*Net debt)</t>
  </si>
  <si>
    <t>New store growth (Based on Appendix ---)</t>
  </si>
  <si>
    <t>- US</t>
  </si>
  <si>
    <t>- China</t>
  </si>
  <si>
    <t>- Global</t>
  </si>
  <si>
    <t xml:space="preserve">Sales store growth </t>
  </si>
  <si>
    <t xml:space="preserve">Company - Operated Stores </t>
  </si>
  <si>
    <t>Revenue (Based on Appendix ---)</t>
  </si>
  <si>
    <t>Total</t>
  </si>
  <si>
    <t xml:space="preserve">Revenue per store </t>
  </si>
  <si>
    <t xml:space="preserve">Licensed Stores </t>
  </si>
  <si>
    <t>Number of Stores (Based on Appendix ---)</t>
  </si>
  <si>
    <t>Assets</t>
  </si>
  <si>
    <t>Total Revenues:</t>
  </si>
  <si>
    <t>Company-operated stores</t>
  </si>
  <si>
    <t>US</t>
  </si>
  <si>
    <t>Licensed stores</t>
  </si>
  <si>
    <t>China</t>
  </si>
  <si>
    <t>Other</t>
  </si>
  <si>
    <t>Global</t>
  </si>
  <si>
    <t>+Other non-op income</t>
  </si>
  <si>
    <t xml:space="preserve">-Tax expense </t>
  </si>
  <si>
    <t xml:space="preserve">Company-operated Stores </t>
  </si>
  <si>
    <t>New store growth (Based on Appendix 5)</t>
  </si>
  <si>
    <t>Number of Stores</t>
  </si>
  <si>
    <t xml:space="preserve">Revenue </t>
  </si>
  <si>
    <t>Growth Rate Revenue per store</t>
  </si>
  <si>
    <t>Growth rate Other %</t>
  </si>
  <si>
    <t>2024E</t>
  </si>
  <si>
    <t>2025E</t>
  </si>
  <si>
    <t>2026E</t>
  </si>
  <si>
    <t>2027E</t>
  </si>
  <si>
    <t>2028E</t>
  </si>
  <si>
    <t>FY 2029</t>
  </si>
  <si>
    <t>Current Ratio</t>
  </si>
  <si>
    <t>Cash Conversion Cycle</t>
  </si>
  <si>
    <t>North America</t>
  </si>
  <si>
    <t>Rev</t>
  </si>
  <si>
    <t>Channel Development</t>
  </si>
  <si>
    <t xml:space="preserve">Base </t>
  </si>
  <si>
    <t xml:space="preserve">Note Rate </t>
  </si>
  <si>
    <t>Terminal Growth</t>
  </si>
  <si>
    <t>Starbucks Corp (SBUX US) - Standardized</t>
  </si>
  <si>
    <t>FY 2014</t>
  </si>
  <si>
    <t>FY 2015</t>
  </si>
  <si>
    <t>FY 2016</t>
  </si>
  <si>
    <t>FY 2017</t>
  </si>
  <si>
    <t>FY 2018</t>
  </si>
  <si>
    <t>12 Months Ending</t>
  </si>
  <si>
    <t>09/28/2014</t>
  </si>
  <si>
    <t>09/27/2015</t>
  </si>
  <si>
    <t>10/02/2016</t>
  </si>
  <si>
    <t>10/01/2017</t>
  </si>
  <si>
    <t>09/30/2018</t>
  </si>
  <si>
    <t>09/29/2019</t>
  </si>
  <si>
    <t>09/27/2020</t>
  </si>
  <si>
    <t>10/03/2021</t>
  </si>
  <si>
    <t>10/02/2022</t>
  </si>
  <si>
    <t>10/01/2023</t>
  </si>
  <si>
    <t xml:space="preserve">  + Cash, Cash Equivalents &amp; STI</t>
  </si>
  <si>
    <t>CASH_CASH_EQTY_STI_DETAILED</t>
  </si>
  <si>
    <t xml:space="preserve">    Growth (YoY)</t>
  </si>
  <si>
    <t xml:space="preserve">    + Cash &amp; Cash Equivalents</t>
  </si>
  <si>
    <t>BS_CASH_NEAR_CASH_ITEM</t>
  </si>
  <si>
    <t xml:space="preserve">    + ST Investments</t>
  </si>
  <si>
    <t>BS_MKT_SEC_OTHER_ST_INVEST</t>
  </si>
  <si>
    <t xml:space="preserve">  + Accounts &amp; Notes Receiv</t>
  </si>
  <si>
    <t>BS_ACCT_NOTE_RCV</t>
  </si>
  <si>
    <t xml:space="preserve">    + Accounts Receivable, Net</t>
  </si>
  <si>
    <t>BS_ACCTS_REC_EXCL_NOTES_REC</t>
  </si>
  <si>
    <t xml:space="preserve">    + Notes Receivable, Net</t>
  </si>
  <si>
    <t>NOTES_RECEIVABLE</t>
  </si>
  <si>
    <t xml:space="preserve">  + Inventories</t>
  </si>
  <si>
    <t>BS_INVENTORIES</t>
  </si>
  <si>
    <t xml:space="preserve">    + Raw Materials</t>
  </si>
  <si>
    <t>INVTRY_RAW_MATERIALS</t>
  </si>
  <si>
    <t xml:space="preserve">    + Work In Process</t>
  </si>
  <si>
    <t>INVTRY_IN_PROGRESS</t>
  </si>
  <si>
    <t xml:space="preserve">    + Finished Goods</t>
  </si>
  <si>
    <t>INVTRY_FINISHED_GOODS</t>
  </si>
  <si>
    <t xml:space="preserve">    + Other Inventory</t>
  </si>
  <si>
    <t>BS_OTHER_INV</t>
  </si>
  <si>
    <t xml:space="preserve">  + Other ST Assets</t>
  </si>
  <si>
    <t>OTHER_CURRENT_ASSETS_DETAILED</t>
  </si>
  <si>
    <t xml:space="preserve">    + Derivative &amp; Hedging Assets</t>
  </si>
  <si>
    <t>BS_DERIV_HEDGING_ASST_ST</t>
  </si>
  <si>
    <t xml:space="preserve">    + Deferred Tax Assets</t>
  </si>
  <si>
    <t>BS_DEFERRED_TAX_ASSETS_ST</t>
  </si>
  <si>
    <t>—</t>
  </si>
  <si>
    <t xml:space="preserve">    + Taxes Receivable</t>
  </si>
  <si>
    <t>BS_TAXES_RECEIVABLE_SHORT_TERM</t>
  </si>
  <si>
    <t xml:space="preserve">    + Misc ST Assets</t>
  </si>
  <si>
    <t>BS_OTHER_CUR_ASSET_LESS_PREPAY</t>
  </si>
  <si>
    <t>Total Current Assets</t>
  </si>
  <si>
    <t>BS_CUR_ASSET_REPORT</t>
  </si>
  <si>
    <t xml:space="preserve">  + Property, Plant &amp; Equip, Net</t>
  </si>
  <si>
    <t>BS_NET_FIX_ASSET</t>
  </si>
  <si>
    <t xml:space="preserve">    + Property, Plant &amp; Equip</t>
  </si>
  <si>
    <t>BS_GROSS_FIX_ASSET</t>
  </si>
  <si>
    <t xml:space="preserve">    - Accumulated Depreciation</t>
  </si>
  <si>
    <t>BS_ACCUM_DEPR</t>
  </si>
  <si>
    <t xml:space="preserve">  + LT Investments &amp; Receivables</t>
  </si>
  <si>
    <t>BS_LT_INVEST</t>
  </si>
  <si>
    <t xml:space="preserve">    + LT Investments</t>
  </si>
  <si>
    <t>BS_LONG_TERM_INVESTMENTS</t>
  </si>
  <si>
    <t xml:space="preserve">  + Other LT Assets</t>
  </si>
  <si>
    <t>BS_OTHER_ASSETS_DEF_CHRG_OTHER</t>
  </si>
  <si>
    <t xml:space="preserve">    + Total Intangible Assets</t>
  </si>
  <si>
    <t>BS_DISCLOSED_INTANGIBLES</t>
  </si>
  <si>
    <t xml:space="preserve">    + Goodwill</t>
  </si>
  <si>
    <t>BS_GOODWILL</t>
  </si>
  <si>
    <t xml:space="preserve">  Geographic Segments</t>
  </si>
  <si>
    <t xml:space="preserve">    International</t>
  </si>
  <si>
    <t xml:space="preserve">    North America</t>
  </si>
  <si>
    <t xml:space="preserve">    Channel Development</t>
  </si>
  <si>
    <t xml:space="preserve">    Corporate &amp; Other</t>
  </si>
  <si>
    <t xml:space="preserve">    China/ Asia Pacific</t>
  </si>
  <si>
    <t xml:space="preserve">    EMEA</t>
  </si>
  <si>
    <t xml:space="preserve">    + Other Intangible Assets</t>
  </si>
  <si>
    <t>OTHER_INTANGIBLE_ASSETS_DETAILED</t>
  </si>
  <si>
    <t>BS_DEFERRED_TAX_ASSETS_LT</t>
  </si>
  <si>
    <t>BS_DERIV_HEDGING_ASST_LT</t>
  </si>
  <si>
    <t xml:space="preserve">    + Investments in Affiliates</t>
  </si>
  <si>
    <t>BS_INVEST_IN_ASSOC_CO</t>
  </si>
  <si>
    <t xml:space="preserve">    + Misc LT Assets</t>
  </si>
  <si>
    <t>OTHER_NONCURRENT_ASSETS_DETAILED</t>
  </si>
  <si>
    <t>Total Noncurrent Assets</t>
  </si>
  <si>
    <t>BS_TOT_NON_CUR_ASSET</t>
  </si>
  <si>
    <t>BS_TOT_ASSET</t>
  </si>
  <si>
    <t xml:space="preserve">    Reconciliation</t>
  </si>
  <si>
    <t>Liabilities &amp; Shareholders' Equity</t>
  </si>
  <si>
    <t xml:space="preserve">  + Payables &amp; Accruals</t>
  </si>
  <si>
    <t>ACCT_PAYABLE_ACCRUALS_DETAILED</t>
  </si>
  <si>
    <t xml:space="preserve">    + Accounts Payable</t>
  </si>
  <si>
    <t>BS_ACCT_PAYABLE</t>
  </si>
  <si>
    <t xml:space="preserve">    + Accrued Taxes</t>
  </si>
  <si>
    <t>BS_TAXES_PAYABLE</t>
  </si>
  <si>
    <t xml:space="preserve">    + Interest &amp; Dividends Payable</t>
  </si>
  <si>
    <t>INTEREST_DIVIDENDS_PAYABLE</t>
  </si>
  <si>
    <t xml:space="preserve">    + Other Payables &amp; Accruals</t>
  </si>
  <si>
    <t>BS_ACCRUAL</t>
  </si>
  <si>
    <t xml:space="preserve">  + ST Debt</t>
  </si>
  <si>
    <t>BS_ST_BORROW</t>
  </si>
  <si>
    <t xml:space="preserve">    + ST Borrowings</t>
  </si>
  <si>
    <t>SHORT_TERM_DEBT_DETAILED</t>
  </si>
  <si>
    <t xml:space="preserve">    + ST Lease Liabilities</t>
  </si>
  <si>
    <t>ST_CAPITALIZED_LEASE_LIABILITIES</t>
  </si>
  <si>
    <t xml:space="preserve">      + ST Finance Leases</t>
  </si>
  <si>
    <t>ST_CAPITAL_LEASE_OBLIGATIONS</t>
  </si>
  <si>
    <t xml:space="preserve">      + ST Operating Leases</t>
  </si>
  <si>
    <t>BS_ST_OPERATING_LEASE_LIABS</t>
  </si>
  <si>
    <t xml:space="preserve">    + Current Portion of LT Debt</t>
  </si>
  <si>
    <t>BS_CURR_PORTION_LT_DEBT</t>
  </si>
  <si>
    <t xml:space="preserve">  + Other ST Liabilities</t>
  </si>
  <si>
    <t>OTHER_CURRENT_LIABS_SUB_DETAILED</t>
  </si>
  <si>
    <t xml:space="preserve">    + Deferred Revenue</t>
  </si>
  <si>
    <t>ST_DEFERRED_REVENUE</t>
  </si>
  <si>
    <t xml:space="preserve">    + Derivatives &amp; Hedging</t>
  </si>
  <si>
    <t>BS_DERIV_HEDGING_LIAB_ST</t>
  </si>
  <si>
    <t xml:space="preserve">    + Misc ST Liabilities</t>
  </si>
  <si>
    <t>OTHER_CURRENT_LIABS_DETAILED</t>
  </si>
  <si>
    <t>Total Current Liabilities</t>
  </si>
  <si>
    <t>BS_CUR_LIAB</t>
  </si>
  <si>
    <t xml:space="preserve">  + LT Debt</t>
  </si>
  <si>
    <t>BS_LT_BORROW</t>
  </si>
  <si>
    <t xml:space="preserve">    + LT Borrowings</t>
  </si>
  <si>
    <t>LONG_TERM_BORROWINGS_DETAILED</t>
  </si>
  <si>
    <t xml:space="preserve">    + LT Lease Liabilities</t>
  </si>
  <si>
    <t>LT_CAPITALIZED_LEASE_LIABILITIES</t>
  </si>
  <si>
    <t xml:space="preserve">      + LT Finance Leases</t>
  </si>
  <si>
    <t>LT_CAPITAL_LEASE_OBLIGATIONS</t>
  </si>
  <si>
    <t xml:space="preserve">      + LT Operating Leases</t>
  </si>
  <si>
    <t>BS_LT_OPERATING_LEASE_LIABS</t>
  </si>
  <si>
    <t xml:space="preserve">  + Other LT Liabilities</t>
  </si>
  <si>
    <t>OTHER_NONCUR_LIABS_SUB_DETAILED</t>
  </si>
  <si>
    <t xml:space="preserve">    + Accrued Liabilities</t>
  </si>
  <si>
    <t>BS_ACCRUED_LIABILITIES</t>
  </si>
  <si>
    <t xml:space="preserve">    + Pension Liabilities</t>
  </si>
  <si>
    <t>PENSION_LIABILITIES</t>
  </si>
  <si>
    <t xml:space="preserve">    + Pensions</t>
  </si>
  <si>
    <t>BS_PENSIONS_LT_LIABS</t>
  </si>
  <si>
    <t xml:space="preserve">    + Other Post-Ret Benefits</t>
  </si>
  <si>
    <t>BS_OPRB_LT_LIABS</t>
  </si>
  <si>
    <t>LT_DEFERRED_REVENUE</t>
  </si>
  <si>
    <t xml:space="preserve">    + Deferred Tax Liabilities</t>
  </si>
  <si>
    <t>BS_DEFERRED_TAX_LIABILITIES_LT</t>
  </si>
  <si>
    <t>BS_DERIV_HEDGING_LIAB_LT</t>
  </si>
  <si>
    <t xml:space="preserve">    + Misc LT Liabilities</t>
  </si>
  <si>
    <t>OTHER_NONCURRENT_LIABS_DETAILED</t>
  </si>
  <si>
    <t>Total Noncurrent Liabilities</t>
  </si>
  <si>
    <t>NON_CUR_LIAB</t>
  </si>
  <si>
    <t>Total Liabilities</t>
  </si>
  <si>
    <t>BS_TOT_LIAB2</t>
  </si>
  <si>
    <t xml:space="preserve">  + Preferred Equity and Hybrid Capital</t>
  </si>
  <si>
    <t>PFD_EQTY_HYBRID_CAPITAL</t>
  </si>
  <si>
    <t xml:space="preserve">  + Share Capital &amp; APIC</t>
  </si>
  <si>
    <t>BS_SH_CAP_AND_APIC</t>
  </si>
  <si>
    <t xml:space="preserve">    + Common Stock</t>
  </si>
  <si>
    <t>BS_COMMON_STOCK</t>
  </si>
  <si>
    <t xml:space="preserve">    + Additional Paid in Capital</t>
  </si>
  <si>
    <t>BS_ADD_PAID_IN_CAP</t>
  </si>
  <si>
    <t xml:space="preserve">  - Treasury Stock</t>
  </si>
  <si>
    <t>BS_AMT_OF_TSY_STOCK</t>
  </si>
  <si>
    <t xml:space="preserve">  + Retained Earnings</t>
  </si>
  <si>
    <t>BS_PURE_RETAINED_EARNINGS</t>
  </si>
  <si>
    <t xml:space="preserve">  + Other Equity</t>
  </si>
  <si>
    <t>OTHER_EQUITY_RATIO</t>
  </si>
  <si>
    <t>Equity Before Minority Interest</t>
  </si>
  <si>
    <t>EQTY_BEF_MINORITY_INT_DETAILED</t>
  </si>
  <si>
    <t xml:space="preserve">  + Minority/Non Controlling Interest</t>
  </si>
  <si>
    <t>MINORITY_NONCONTROLLING_INTEREST</t>
  </si>
  <si>
    <t>TOTAL_EQUITY</t>
  </si>
  <si>
    <t>Total Liabilities &amp; Equity</t>
  </si>
  <si>
    <t>TOT_LIAB_AND_EQY</t>
  </si>
  <si>
    <t>Reference Items</t>
  </si>
  <si>
    <t>Accounting Standard</t>
  </si>
  <si>
    <t>ACCOUNTING_STANDARD</t>
  </si>
  <si>
    <t>US GAAP</t>
  </si>
  <si>
    <t>Shares Outstanding</t>
  </si>
  <si>
    <t>BS_SH_OUT</t>
  </si>
  <si>
    <t>Number of Treasury Shares</t>
  </si>
  <si>
    <t>BS_NUM_OF_TSY_SH</t>
  </si>
  <si>
    <t>Pension Obligations</t>
  </si>
  <si>
    <t>BS_PENSION_RSRV</t>
  </si>
  <si>
    <t>Future Minimum Operating Lease Obligations</t>
  </si>
  <si>
    <t>BS_FUTURE_MIN_OPER_LEASE_OBLIG</t>
  </si>
  <si>
    <t>Capital Leases - Total</t>
  </si>
  <si>
    <t>BS_TOTAL_CAPITAL_LEASES</t>
  </si>
  <si>
    <t>Options Granted During Period</t>
  </si>
  <si>
    <t>BS_OPTIONS_GRANTED</t>
  </si>
  <si>
    <t>Options Outstanding at Period End</t>
  </si>
  <si>
    <t>BS_OPTIONS_OUTSTANDING</t>
  </si>
  <si>
    <t>Net Debt</t>
  </si>
  <si>
    <t>NET_DEBT</t>
  </si>
  <si>
    <t>Net Debt to Equity</t>
  </si>
  <si>
    <t>NET_DEBT_TO_SHRHLDR_EQTY</t>
  </si>
  <si>
    <t>Tangible Common Equity Ratio</t>
  </si>
  <si>
    <t>TCE_RATIO</t>
  </si>
  <si>
    <t>CUR_RATIO</t>
  </si>
  <si>
    <t>CASH_CONVERSION_CYCLE</t>
  </si>
  <si>
    <t>Cash Held Overseas</t>
  </si>
  <si>
    <t>BS_CASH_HELD_OVERSEAS</t>
  </si>
  <si>
    <t>Number of Employees</t>
  </si>
  <si>
    <t>NUM_OF_EMPLOYEES</t>
  </si>
  <si>
    <t>Source: Bloomberg</t>
  </si>
  <si>
    <t>Right click to show data transparency (not supported for all values)</t>
  </si>
  <si>
    <t>Starbucks Corp (SBUX US) - BBG Adjusted</t>
  </si>
  <si>
    <t>Last 12M</t>
  </si>
  <si>
    <t>FY 2024 Est</t>
  </si>
  <si>
    <t>FY 2025 Est</t>
  </si>
  <si>
    <t>09/30/2024</t>
  </si>
  <si>
    <t>09/30/2025</t>
  </si>
  <si>
    <t>SALES_REV_TURN</t>
  </si>
  <si>
    <t xml:space="preserve">    + Sales &amp; Services Revenue</t>
  </si>
  <si>
    <t>IS_SALES_AND_SERVICES_REVENUES</t>
  </si>
  <si>
    <t xml:space="preserve">    + Other Revenue</t>
  </si>
  <si>
    <t>IS_OTHER_REVENUE</t>
  </si>
  <si>
    <t xml:space="preserve">  - Cost of Revenue</t>
  </si>
  <si>
    <t>IS_COGS_TO_FE_AND_PP_AND_G</t>
  </si>
  <si>
    <t xml:space="preserve">    + Cost of Goods &amp; Services</t>
  </si>
  <si>
    <t>IS_COG_AND_SERVICES_SOLD</t>
  </si>
  <si>
    <t>GROSS_PROFIT</t>
  </si>
  <si>
    <t xml:space="preserve">  + Other Operating Income</t>
  </si>
  <si>
    <t>IS_OTHER_OPER_INC</t>
  </si>
  <si>
    <t xml:space="preserve">  - Operating Expenses</t>
  </si>
  <si>
    <t>IS_OPERATING_EXPN</t>
  </si>
  <si>
    <t xml:space="preserve">    + Selling, General &amp; Admin</t>
  </si>
  <si>
    <t>IS_SGA_EXPENSE</t>
  </si>
  <si>
    <t xml:space="preserve">    + Selling &amp; Marketing</t>
  </si>
  <si>
    <t>IS_SELLING_EXPENSES</t>
  </si>
  <si>
    <t xml:space="preserve">    + General &amp; Administrative</t>
  </si>
  <si>
    <t>IS_GENERAL_AND_ADMINISTRATIVE</t>
  </si>
  <si>
    <t xml:space="preserve">    + Research &amp; Development</t>
  </si>
  <si>
    <t>IS_OPERATING_EXPENSES_RD</t>
  </si>
  <si>
    <t xml:space="preserve">    + Depreciation &amp; Amortization</t>
  </si>
  <si>
    <t>IS_DEPRECIATION_AND_AMORTIZATION</t>
  </si>
  <si>
    <t xml:space="preserve">    + Other Operating Expense</t>
  </si>
  <si>
    <t>IS_OTHER_OPERATING_EXPENSES</t>
  </si>
  <si>
    <t>Operating Income (Loss)</t>
  </si>
  <si>
    <t>IS_OPER_INC</t>
  </si>
  <si>
    <t xml:space="preserve">  - Non-Operating (Income) Loss</t>
  </si>
  <si>
    <t>IS_NONOP_INCOME_LOSS</t>
  </si>
  <si>
    <t xml:space="preserve">    + Interest Expense, Net</t>
  </si>
  <si>
    <t>IS_NET_INTEREST_EXPENSE</t>
  </si>
  <si>
    <t xml:space="preserve">    + Interest Expense</t>
  </si>
  <si>
    <t>IS_INT_EXPENSE</t>
  </si>
  <si>
    <t xml:space="preserve">    - Interest Income</t>
  </si>
  <si>
    <t>IS_INT_INC</t>
  </si>
  <si>
    <t xml:space="preserve">    + Foreign Exch (Gain) Loss</t>
  </si>
  <si>
    <t>IS_FOREIGN_EXCH_LOSS</t>
  </si>
  <si>
    <t xml:space="preserve">    + Other Non-Op (Income) Loss</t>
  </si>
  <si>
    <t>IS_OTHER_NON_OPERATING_INC_LOSS</t>
  </si>
  <si>
    <t>Pretax Income (Loss), Adjusted</t>
  </si>
  <si>
    <t>PRETAX_INC</t>
  </si>
  <si>
    <t xml:space="preserve">  - Abnormal Losses (Gains)</t>
  </si>
  <si>
    <t>IS_ABNORMAL_ITEM</t>
  </si>
  <si>
    <t xml:space="preserve">    + Merger/Acquisition Expense</t>
  </si>
  <si>
    <t>IS_MERGER_ACQUISITION_EXPENSE</t>
  </si>
  <si>
    <t xml:space="preserve">    + Disposal of Assets</t>
  </si>
  <si>
    <t>IS_GAIN_LOSS_DISPOSAL_ASSETS</t>
  </si>
  <si>
    <t xml:space="preserve">    + Early Extinguishment of Debt</t>
  </si>
  <si>
    <t>IS_G_L_ON_EXT_DBT_OR_SETTLE_DBT</t>
  </si>
  <si>
    <t xml:space="preserve">    + Impairment of Goodwill</t>
  </si>
  <si>
    <t>IS_IMPAIRMENT_GOODWILL_INTANGIBL</t>
  </si>
  <si>
    <t xml:space="preserve">    + Gain/Loss on Sale/Acquisition of Business</t>
  </si>
  <si>
    <t>IS_SALE_OF_BUSINESS</t>
  </si>
  <si>
    <t xml:space="preserve">    + Legal Settlement</t>
  </si>
  <si>
    <t>IS_LEGAL_LITIGATION_SETTLEMENT</t>
  </si>
  <si>
    <t xml:space="preserve">    + Restructuring</t>
  </si>
  <si>
    <t>IS_RESTRUCTURING_EXPENSES</t>
  </si>
  <si>
    <t xml:space="preserve">    + Sale of Investments</t>
  </si>
  <si>
    <t>IS_GAIN_LOSS_ON_INVESTMENTS</t>
  </si>
  <si>
    <t xml:space="preserve">    + Other Abnormal Items</t>
  </si>
  <si>
    <t>IS_OTHER_ONE_TIME_ITEMS</t>
  </si>
  <si>
    <t>Pretax Income (Loss), GAAP</t>
  </si>
  <si>
    <t xml:space="preserve">  - Income Tax Expense (Benefit)</t>
  </si>
  <si>
    <t>IS_INC_TAX_EXP</t>
  </si>
  <si>
    <t xml:space="preserve">    + Current Income Tax</t>
  </si>
  <si>
    <t>IS_CURRENT_INCOME_TAX_BENEFIT</t>
  </si>
  <si>
    <t xml:space="preserve">    + Deferred Income Tax</t>
  </si>
  <si>
    <t>IS_DEFERRED_INCOME_TAX_BENEFIT</t>
  </si>
  <si>
    <t>Income (Loss) from Cont Ops</t>
  </si>
  <si>
    <t>IS_INC_BEF_XO_ITEM</t>
  </si>
  <si>
    <t xml:space="preserve">  - Net Extraordinary Losses (Gains)</t>
  </si>
  <si>
    <t>XO_GL_NET_OF_TAX</t>
  </si>
  <si>
    <t xml:space="preserve">    + Discontinued Operations</t>
  </si>
  <si>
    <t>IS_DISCONTINUED_OPERATIONS</t>
  </si>
  <si>
    <t xml:space="preserve">    + XO &amp; Accounting Changes</t>
  </si>
  <si>
    <t>EXTRAORD_ITEMS_ACCOUNTING_CHANGS</t>
  </si>
  <si>
    <t>Income (Loss) Incl. MI</t>
  </si>
  <si>
    <t>NI_INCLUDING_MINORITY_INT_RATIO</t>
  </si>
  <si>
    <t xml:space="preserve">  - Minority Interest</t>
  </si>
  <si>
    <t>MIN_NONCONTROL_INTEREST_CREDITS</t>
  </si>
  <si>
    <t>Net Income, GAAP</t>
  </si>
  <si>
    <t>NET_INCOME</t>
  </si>
  <si>
    <t xml:space="preserve">  - Preferred Dividends</t>
  </si>
  <si>
    <t>IS_TOT_CASH_PFD_DVD</t>
  </si>
  <si>
    <t xml:space="preserve">  - Other Adjustments</t>
  </si>
  <si>
    <t>OTHER_ADJUSTMENTS</t>
  </si>
  <si>
    <t>Net Income Avail to Common, GAAP</t>
  </si>
  <si>
    <t>EARN_FOR_COMMON</t>
  </si>
  <si>
    <t>Net Income Avail to Common, Adj</t>
  </si>
  <si>
    <t xml:space="preserve">  Net Abnormal Losses (Gains)</t>
  </si>
  <si>
    <t>IS_NET_ABNORMAL_ITEMS</t>
  </si>
  <si>
    <t xml:space="preserve">  Net Extraordinary Losses (Gains)</t>
  </si>
  <si>
    <t>Basic Weighted Avg Shares</t>
  </si>
  <si>
    <t>IS_AVG_NUM_SH_FOR_EPS</t>
  </si>
  <si>
    <t>Basic EPS, GAAP</t>
  </si>
  <si>
    <t>IS_EPS</t>
  </si>
  <si>
    <t>Basic EPS from Cont Ops, GAAP</t>
  </si>
  <si>
    <t>IS_EARN_BEF_XO_ITEMS_PER_SH</t>
  </si>
  <si>
    <t>Basic EPS from Cont Ops, Adjusted</t>
  </si>
  <si>
    <t>IS_BASIC_EPS_CONT_OPS</t>
  </si>
  <si>
    <t>Diluted Weighted Avg Shares</t>
  </si>
  <si>
    <t>IS_SH_FOR_DILUTED_EPS</t>
  </si>
  <si>
    <t>Diluted EPS, GAAP</t>
  </si>
  <si>
    <t>IS_DILUTED_EPS</t>
  </si>
  <si>
    <t>Diluted EPS from Cont Ops, GAAP</t>
  </si>
  <si>
    <t>IS_DIL_EPS_BEF_XO</t>
  </si>
  <si>
    <t>Diluted EPS from Cont Ops, Adjusted</t>
  </si>
  <si>
    <t>IS_DIL_EPS_CONT_OPS</t>
  </si>
  <si>
    <t>EBITDA</t>
  </si>
  <si>
    <t>EBITDA Margin (T12M)</t>
  </si>
  <si>
    <t>EBITDA_MARGIN</t>
  </si>
  <si>
    <t>EBITA</t>
  </si>
  <si>
    <t>Gross Margin</t>
  </si>
  <si>
    <t>GROSS_MARGIN</t>
  </si>
  <si>
    <t>Operating Margin</t>
  </si>
  <si>
    <t>OPER_MARGIN</t>
  </si>
  <si>
    <t>Profit Margin</t>
  </si>
  <si>
    <t>PROF_MARGIN</t>
  </si>
  <si>
    <t>Sales per Employee</t>
  </si>
  <si>
    <t>ACTUAL_SALES_PER_EMPL</t>
  </si>
  <si>
    <t>Dividends per Share</t>
  </si>
  <si>
    <t>EQY_DPS</t>
  </si>
  <si>
    <t>Total Cash Common Dividends</t>
  </si>
  <si>
    <t>IS_TOT_CASH_COM_DVD</t>
  </si>
  <si>
    <t>Capitalized Interest Expense</t>
  </si>
  <si>
    <t>IS_CAP_INT_EXP</t>
  </si>
  <si>
    <t>Depreciation Expense</t>
  </si>
  <si>
    <t>IS_DEPR_EXP</t>
  </si>
  <si>
    <t>Rental Expense</t>
  </si>
  <si>
    <t>BS_CURR_RENTAL_EXPENSE</t>
  </si>
  <si>
    <t>Cash from Operating Activities</t>
  </si>
  <si>
    <t xml:space="preserve">  + Net Income</t>
  </si>
  <si>
    <t>CF_NET_INC</t>
  </si>
  <si>
    <t xml:space="preserve">  + Depreciation &amp; Amortization</t>
  </si>
  <si>
    <t>CF_DEPR_AMORT</t>
  </si>
  <si>
    <t xml:space="preserve">  + Non-Cash Items</t>
  </si>
  <si>
    <t>NON_CASH_ITEMS_DETAILED</t>
  </si>
  <si>
    <t xml:space="preserve">    + Stock-Based Compensation</t>
  </si>
  <si>
    <t>CF_STOCK_BASED_COMPENSATION</t>
  </si>
  <si>
    <t xml:space="preserve">    + Deferred Income Taxes</t>
  </si>
  <si>
    <t>CF_DEF_INC_TAX</t>
  </si>
  <si>
    <t xml:space="preserve">    + Other Non-Cash Adj</t>
  </si>
  <si>
    <t>OTHER_NON_CASH_ADJ_LESS_DETAILED</t>
  </si>
  <si>
    <t xml:space="preserve">  + Chg in Non-Cash Work Cap</t>
  </si>
  <si>
    <t>CF_CHNG_NON_CASH_WORK_CAP</t>
  </si>
  <si>
    <t xml:space="preserve">    + (Inc) Dec in Accts Receiv</t>
  </si>
  <si>
    <t>CF_ACCT_RCV_UNBILLED_REV</t>
  </si>
  <si>
    <t xml:space="preserve">    + (Inc) Dec in Inventories</t>
  </si>
  <si>
    <t>CF_CHANGE_IN_INVENTORIES</t>
  </si>
  <si>
    <t xml:space="preserve">    + Inc (Dec) in Accts Payable</t>
  </si>
  <si>
    <t>CF_CHANGE_IN_ACCOUNTS_PAYABLE</t>
  </si>
  <si>
    <t xml:space="preserve">    + Inc (Dec) in Other</t>
  </si>
  <si>
    <t>INC_DEC_IN_OT_OP_AST_LIAB_DETAIL</t>
  </si>
  <si>
    <t xml:space="preserve">  + Net Cash From Disc Ops</t>
  </si>
  <si>
    <t>CF_NET_CASH_DISCONT_OPS_OPER</t>
  </si>
  <si>
    <t>CF_CASH_FROM_OPER</t>
  </si>
  <si>
    <t>Cash from Investing Activities</t>
  </si>
  <si>
    <t xml:space="preserve">  + Change in Fixed &amp; Intang</t>
  </si>
  <si>
    <t>FIXED_INTANG_ASST_CHANGE</t>
  </si>
  <si>
    <t xml:space="preserve">    + Disp in Fixed &amp; Intang</t>
  </si>
  <si>
    <t>DISPOSAL_OF_FIXED_INTANG</t>
  </si>
  <si>
    <t xml:space="preserve">    + Disp of Fixed Prod Assets</t>
  </si>
  <si>
    <t>CF_DISPOSAL_OF_FIXED_PROD_ASSETS</t>
  </si>
  <si>
    <t xml:space="preserve">    + Disp of Intangible Assets</t>
  </si>
  <si>
    <t>CF_DISPOSAL_OF_INTANGIBLE_ASSETS</t>
  </si>
  <si>
    <t xml:space="preserve">    + Acq of Fixed &amp; Intang</t>
  </si>
  <si>
    <t>ACQUIS_OF_FIXED_INTANG</t>
  </si>
  <si>
    <t xml:space="preserve">    + Acq of Fixed Prod Assets</t>
  </si>
  <si>
    <t>CF_PURCHASE_OF_FIXED_PROD_ASSETS</t>
  </si>
  <si>
    <t xml:space="preserve">    + Acq of Intangible Assets</t>
  </si>
  <si>
    <t>CF_ACQUISITION_OF_INTANG_ASSETS</t>
  </si>
  <si>
    <t xml:space="preserve">  + Net Change in LT Investment</t>
  </si>
  <si>
    <t>NET_CHG_IN_LT_INVEST_DETAILED</t>
  </si>
  <si>
    <t xml:space="preserve">    + Dec in LT Investment</t>
  </si>
  <si>
    <t>CF_DECR_INVEST</t>
  </si>
  <si>
    <t xml:space="preserve">    + Inc in LT Investment</t>
  </si>
  <si>
    <t>CF_INCR_INVEST</t>
  </si>
  <si>
    <t xml:space="preserve">  + Net Cash From Acq &amp; Div</t>
  </si>
  <si>
    <t>CF_NT_CSH_RCVD_PD_FOR_ACQUIS_DIV</t>
  </si>
  <si>
    <t xml:space="preserve">    + Cash from Divestitures</t>
  </si>
  <si>
    <t>CF_CASH_FOR_DIVESTITURES</t>
  </si>
  <si>
    <t>#N/A Requesting Data...</t>
  </si>
  <si>
    <t xml:space="preserve">    + Cash for Acq of Subs</t>
  </si>
  <si>
    <t>CF_CASH_FOR_ACQUIS_SUBSIDIARIES</t>
  </si>
  <si>
    <t xml:space="preserve">    + Cash for JVs</t>
  </si>
  <si>
    <t>CF_CASH_FOR_JOINT_VENTURES_ASSOC</t>
  </si>
  <si>
    <t xml:space="preserve">  + Other Investing Activities</t>
  </si>
  <si>
    <t>OTHER_INVESTING_ACT_DETAILED</t>
  </si>
  <si>
    <t>CF_NET_CASH_DISCONTINUED_OPS_INV</t>
  </si>
  <si>
    <t>CF_CASH_FROM_INV_ACT</t>
  </si>
  <si>
    <t>Cash from Financing Activities</t>
  </si>
  <si>
    <t xml:space="preserve">  + Dividends Paid</t>
  </si>
  <si>
    <t>CF_DVD_PAID</t>
  </si>
  <si>
    <t xml:space="preserve">  + Cash From (Repayment) Debt</t>
  </si>
  <si>
    <t>PROC_FR_REPAYMNTS_BOR_DETAILED</t>
  </si>
  <si>
    <t xml:space="preserve">    + Cash From (Repay) ST Debt</t>
  </si>
  <si>
    <t>CF_NET_CHG_ST_DEBT_CPTL_LEAS</t>
  </si>
  <si>
    <t xml:space="preserve">    + Cash From LT Debt</t>
  </si>
  <si>
    <t>CF_LT_DEBT_CAP_LEAS_PROCEEDS</t>
  </si>
  <si>
    <t xml:space="preserve">    + Repayments of LT Debt</t>
  </si>
  <si>
    <t>CF_LT_DEBT_CAP_LEAS_PAYMENT</t>
  </si>
  <si>
    <t xml:space="preserve">  + Cash (Repurchase) of Equity</t>
  </si>
  <si>
    <t>NET_CAP_STOCK</t>
  </si>
  <si>
    <t xml:space="preserve">    + Increase in Capital Stock</t>
  </si>
  <si>
    <t>CF_INCR_CAP_STOCK</t>
  </si>
  <si>
    <t xml:space="preserve">    + Decrease in Capital Stock</t>
  </si>
  <si>
    <t>CF_DECR_CAP_STOCK</t>
  </si>
  <si>
    <t xml:space="preserve">  + Other Financing Activities</t>
  </si>
  <si>
    <t>OTHER_FIN_AND_DEC_CAP</t>
  </si>
  <si>
    <t>CF_NET_CASH_DISCONTINUED_OPS_FIN</t>
  </si>
  <si>
    <t>CFF_ACTIVITIES_DETAILED</t>
  </si>
  <si>
    <t>Div</t>
  </si>
  <si>
    <t>Repurchase</t>
  </si>
  <si>
    <t xml:space="preserve">  Effect of Foreign Exchange Rates</t>
  </si>
  <si>
    <t>CF_EFFECT_FOREIGN_EXCHANGES</t>
  </si>
  <si>
    <t>Net Changes in Cash</t>
  </si>
  <si>
    <t>CF_NET_CHNG_CASH</t>
  </si>
  <si>
    <t xml:space="preserve">Capex </t>
  </si>
  <si>
    <t>Cash Paid for Taxes</t>
  </si>
  <si>
    <t>CF_CASH_PAID_FOR_TAX</t>
  </si>
  <si>
    <t>Cash Paid for Interest</t>
  </si>
  <si>
    <t>CF_ACT_CASH_PAID_FOR_INT_DEBT</t>
  </si>
  <si>
    <t>Trailing 12M EBITDA Margin</t>
  </si>
  <si>
    <t>Net Cash Paid for Acquisitions</t>
  </si>
  <si>
    <t>CF_NET_CASH_PAID_FOR_AQUIS</t>
  </si>
  <si>
    <t>Tax Benefit from Stock Options</t>
  </si>
  <si>
    <t>CF_TAX_BENEFIT_FRM_STOCK_OPTIONS</t>
  </si>
  <si>
    <t>Free Cash Flow</t>
  </si>
  <si>
    <t>CF_FREE_CASH_FLOW</t>
  </si>
  <si>
    <t>Free Cash Flow to Firm</t>
  </si>
  <si>
    <t>CF_FREE_CASH_FLOW_FIRM</t>
  </si>
  <si>
    <t>Free Cash Flow to Equity</t>
  </si>
  <si>
    <t>FREE_CASH_FLOW_EQUITY</t>
  </si>
  <si>
    <t>Free Cash Flow per Basic Share</t>
  </si>
  <si>
    <t>FREE_CASH_FLOW_PER_SH</t>
  </si>
  <si>
    <t>Price to Free Cash Flow</t>
  </si>
  <si>
    <t>PX_TO_FREE_CASH_FLOW</t>
  </si>
  <si>
    <t>Cash Flow to Net Income</t>
  </si>
  <si>
    <t>CASH_FLOW_TO_NET_INC</t>
  </si>
  <si>
    <t xml:space="preserve">WACC Components </t>
  </si>
  <si>
    <t>Rate</t>
  </si>
  <si>
    <t xml:space="preserve">Methodology </t>
  </si>
  <si>
    <t xml:space="preserve">Risk-free rate </t>
  </si>
  <si>
    <t>Risk free is estimated based on our expectation on future interest rate</t>
  </si>
  <si>
    <t>Equity risk premium</t>
  </si>
  <si>
    <t>Excess return of market return</t>
  </si>
  <si>
    <t>Starbucks' beta sourced from Bloomberg</t>
  </si>
  <si>
    <t>Cost of equity</t>
  </si>
  <si>
    <t>Calculated via CAPM</t>
  </si>
  <si>
    <t xml:space="preserve">Pre-tax cost of debt </t>
  </si>
  <si>
    <t>Starbucks' note rate</t>
  </si>
  <si>
    <t xml:space="preserve">Tax rate </t>
  </si>
  <si>
    <t>Pre - tax income divided by tax expenses</t>
  </si>
  <si>
    <t xml:space="preserve">After-tax cost of debt </t>
  </si>
  <si>
    <t>Calculated using Starbucks book value of total debt and market value for the weight</t>
  </si>
  <si>
    <t>Executive Committee</t>
  </si>
  <si>
    <t>+------------+--------+</t>
  </si>
  <si>
    <t>Monte Carlo Price Paths</t>
  </si>
  <si>
    <t>Name</t>
  </si>
  <si>
    <t>Position</t>
  </si>
  <si>
    <t>Age</t>
  </si>
  <si>
    <t>Tenure 
(Years)</t>
  </si>
  <si>
    <t>Year Joined</t>
  </si>
  <si>
    <t>Education</t>
  </si>
  <si>
    <t>Pay Value</t>
  </si>
  <si>
    <t>Share Held 
% Outstd</t>
  </si>
  <si>
    <t>| Percentile | Value  |</t>
  </si>
  <si>
    <t>75th Percentile</t>
  </si>
  <si>
    <t>Laxman Narasimhan</t>
  </si>
  <si>
    <t>CEO</t>
  </si>
  <si>
    <t>MBA, Engineering</t>
  </si>
  <si>
    <t>50th Percentile</t>
  </si>
  <si>
    <t>Rachel Ruggeri</t>
  </si>
  <si>
    <t>Exec VP/CFO</t>
  </si>
  <si>
    <t>MBA, Accounting</t>
  </si>
  <si>
    <t>|    25th    |   82   |</t>
  </si>
  <si>
    <t>25th Percentile</t>
  </si>
  <si>
    <t>Brady Brewer</t>
  </si>
  <si>
    <t>Exec VP/CMO</t>
  </si>
  <si>
    <t>Marketing</t>
  </si>
  <si>
    <t>-</t>
  </si>
  <si>
    <t>|    50th    |   96   |</t>
  </si>
  <si>
    <t>% Buy</t>
  </si>
  <si>
    <t>Michael A Conway</t>
  </si>
  <si>
    <t>Intl &amp; Channel Dev</t>
  </si>
  <si>
    <t>Business, Economics</t>
  </si>
  <si>
    <t>|    75th    |  112   |</t>
  </si>
  <si>
    <t>% Hold</t>
  </si>
  <si>
    <t>Dominic Carr</t>
  </si>
  <si>
    <t>Economics</t>
  </si>
  <si>
    <t>|    Buys    | 37.89% |</t>
  </si>
  <si>
    <t>% Sell</t>
  </si>
  <si>
    <t>Sara Kelly</t>
  </si>
  <si>
    <t>Exec VP/CPO</t>
  </si>
  <si>
    <t>Business</t>
  </si>
  <si>
    <t>|   Holds    | 17.86% |</t>
  </si>
  <si>
    <t>Iterations</t>
  </si>
  <si>
    <t>Bradley E Lerman</t>
  </si>
  <si>
    <t>Exec VP/General Consumer</t>
  </si>
  <si>
    <t>|   Sells    | 44.26% |</t>
  </si>
  <si>
    <t>Howard D Schultz</t>
  </si>
  <si>
    <t>Interim President &amp; CEO</t>
  </si>
  <si>
    <t>| Iterations | 100000 |</t>
  </si>
  <si>
    <t>Board of Directors</t>
  </si>
  <si>
    <t>Director Since</t>
  </si>
  <si>
    <t>Mellody Hobson</t>
  </si>
  <si>
    <t>Chairman</t>
  </si>
  <si>
    <t xml:space="preserve">
Richard E. Allison, Jr.</t>
  </si>
  <si>
    <t>Board Member</t>
  </si>
  <si>
    <t>Andrew Campion</t>
  </si>
  <si>
    <t>Beth Ford</t>
  </si>
  <si>
    <t>Supply Chain</t>
  </si>
  <si>
    <t>Jørgen Vig Knudstorp</t>
  </si>
  <si>
    <t>Neal Mohan</t>
  </si>
  <si>
    <t>Engineering</t>
  </si>
  <si>
    <t>Satya Nadella</t>
  </si>
  <si>
    <t>Daniel Servitje</t>
  </si>
  <si>
    <t>MBA</t>
  </si>
  <si>
    <t>Mike Sievert</t>
  </si>
  <si>
    <t>Wei Zhang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</si>
</sst>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8" formatCode="&quot;$&quot;#,##0.00_);[Red]\(&quot;$&quot;#,##0.00\)"/>
    <numFmt numFmtId="44" formatCode="_(&quot;$&quot;* #,##0.00_);_(&quot;$&quot;* \(#,##0.00\);_(&quot;$&quot;* &quot;-&quot;??_);_(@_)"/>
    <numFmt numFmtId="43" formatCode="_(* #,##0.00_);_(* \(#,##0.00\);_(* &quot;-&quot;??_);_(@_)"/>
    <numFmt numFmtId="164" formatCode="0.00000%"/>
    <numFmt numFmtId="165" formatCode="&quot;$&quot;#,##0.00"/>
    <numFmt numFmtId="166" formatCode="0%;\(0%\)"/>
    <numFmt numFmtId="167" formatCode="0.0%"/>
    <numFmt numFmtId="168" formatCode="_(* #,##0.00000_);_(* \(#,##0.00000\);_(* &quot;-&quot;??_);_(@_)"/>
    <numFmt numFmtId="169" formatCode="0.000"/>
    <numFmt numFmtId="170" formatCode="_(* #,##0_);_(* \(#,##0\);_(* &quot;-&quot;??_);_(@_)"/>
    <numFmt numFmtId="171" formatCode="0.0000%"/>
    <numFmt numFmtId="172" formatCode="_(&quot;$&quot;* #,##0_);_(&quot;$&quot;* \(#,##0\);_(&quot;$&quot;* &quot;-&quot;??_);_(@_)"/>
  </numFmts>
  <fonts count="37">
    <font>
      <sz val="12"/>
      <color theme="1"/>
      <name val="Calibri"/>
      <family val="2"/>
      <scheme val="minor"/>
    </font>
    <font>
      <sz val="12"/>
      <color theme="1"/>
      <name val="Calibri"/>
      <family val="2"/>
      <scheme val="minor"/>
    </font>
    <font>
      <sz val="16"/>
      <color theme="1"/>
      <name val="Calibri"/>
      <family val="2"/>
      <scheme val="minor"/>
    </font>
    <font>
      <sz val="10"/>
      <color indexed="8"/>
      <name val="Arial"/>
      <family val="2"/>
    </font>
    <font>
      <b/>
      <u/>
      <sz val="11"/>
      <color theme="1"/>
      <name val="Calibri"/>
      <family val="2"/>
      <scheme val="minor"/>
    </font>
    <font>
      <u/>
      <sz val="12"/>
      <color theme="1"/>
      <name val="Calibri"/>
      <family val="2"/>
      <scheme val="minor"/>
    </font>
    <font>
      <b/>
      <u/>
      <sz val="12"/>
      <color theme="1"/>
      <name val="Calibri"/>
      <family val="2"/>
      <scheme val="minor"/>
    </font>
    <font>
      <sz val="11"/>
      <color theme="1"/>
      <name val="Calibri"/>
      <family val="2"/>
      <scheme val="minor"/>
    </font>
    <font>
      <b/>
      <sz val="11"/>
      <color theme="1"/>
      <name val="Calibri"/>
      <family val="2"/>
      <scheme val="minor"/>
    </font>
    <font>
      <b/>
      <u val="singleAccounting"/>
      <sz val="11"/>
      <color theme="1"/>
      <name val="Calibri"/>
      <family val="2"/>
      <scheme val="minor"/>
    </font>
    <font>
      <sz val="8"/>
      <name val="Calibri"/>
      <family val="2"/>
      <scheme val="minor"/>
    </font>
    <font>
      <b/>
      <sz val="11"/>
      <color indexed="9"/>
      <name val="Calibri"/>
      <family val="2"/>
    </font>
    <font>
      <b/>
      <sz val="16"/>
      <color indexed="9"/>
      <name val="Arial"/>
      <family val="2"/>
    </font>
    <font>
      <sz val="10"/>
      <name val="Calibri"/>
      <family val="2"/>
    </font>
    <font>
      <b/>
      <sz val="10"/>
      <color indexed="9"/>
      <name val="Arial"/>
      <family val="2"/>
    </font>
    <font>
      <b/>
      <sz val="10"/>
      <color indexed="8"/>
      <name val="Arial"/>
      <family val="2"/>
    </font>
    <font>
      <sz val="10"/>
      <color indexed="63"/>
      <name val="Arial"/>
      <family val="2"/>
    </font>
    <font>
      <i/>
      <sz val="10"/>
      <color indexed="63"/>
      <name val="Arial"/>
      <family val="2"/>
    </font>
    <font>
      <i/>
      <sz val="10"/>
      <color indexed="8"/>
      <name val="Arial"/>
      <family val="2"/>
    </font>
    <font>
      <b/>
      <sz val="12"/>
      <color theme="0"/>
      <name val="Calibri"/>
      <family val="2"/>
      <scheme val="minor"/>
    </font>
    <font>
      <sz val="11"/>
      <color theme="0"/>
      <name val="Calibri"/>
      <family val="2"/>
      <scheme val="minor"/>
    </font>
    <font>
      <b/>
      <sz val="11"/>
      <color theme="0"/>
      <name val="Calibri"/>
      <family val="2"/>
      <scheme val="minor"/>
    </font>
    <font>
      <sz val="9.5"/>
      <color rgb="FF000000"/>
      <name val="Calibri"/>
      <family val="2"/>
      <scheme val="minor"/>
    </font>
    <font>
      <b/>
      <sz val="9.5"/>
      <color theme="0"/>
      <name val="Calibri"/>
      <family val="2"/>
      <scheme val="minor"/>
    </font>
    <font>
      <sz val="7"/>
      <color theme="1"/>
      <name val="Times New Roman"/>
      <family val="1"/>
    </font>
    <font>
      <sz val="11"/>
      <color theme="1"/>
      <name val="Aptos"/>
    </font>
    <font>
      <sz val="12"/>
      <color rgb="FF0D0D0D"/>
      <name val="Arial"/>
      <family val="2"/>
    </font>
    <font>
      <sz val="12"/>
      <color theme="1"/>
      <name val="Aptos"/>
    </font>
    <font>
      <b/>
      <sz val="12"/>
      <color theme="0"/>
      <name val="Aptos"/>
    </font>
    <font>
      <b/>
      <sz val="16"/>
      <color theme="0"/>
      <name val="Calibri"/>
      <family val="2"/>
      <scheme val="minor"/>
    </font>
    <font>
      <sz val="10"/>
      <color theme="1"/>
      <name val="Var(--jp-code-font-family)"/>
    </font>
    <font>
      <b/>
      <sz val="10.5"/>
      <color rgb="FFFFFFFF"/>
      <name val="Times New Roman"/>
      <family val="1"/>
    </font>
    <font>
      <sz val="11"/>
      <color rgb="FF000000"/>
      <name val="Calibri"/>
      <family val="2"/>
    </font>
    <font>
      <sz val="11"/>
      <color theme="1"/>
      <name val="Calibri"/>
      <family val="2"/>
    </font>
    <font>
      <b/>
      <sz val="11"/>
      <color theme="0"/>
      <name val="Calibri"/>
      <family val="2"/>
    </font>
    <font>
      <sz val="12"/>
      <color theme="0"/>
      <name val="Calibri"/>
      <family val="2"/>
      <scheme val="minor"/>
    </font>
    <font>
      <b/>
      <sz val="12"/>
      <color theme="1"/>
      <name val="Calibri"/>
      <family val="2"/>
      <scheme val="minor"/>
    </font>
  </fonts>
  <fills count="25">
    <fill>
      <patternFill patternType="none"/>
    </fill>
    <fill>
      <patternFill patternType="gray125"/>
    </fill>
    <fill>
      <patternFill patternType="solid">
        <fgColor theme="2" tint="-9.9978637043366805E-2"/>
        <bgColor indexed="64"/>
      </patternFill>
    </fill>
    <fill>
      <patternFill patternType="solid">
        <fgColor theme="3" tint="0.59999389629810485"/>
        <bgColor indexed="64"/>
      </patternFill>
    </fill>
    <fill>
      <patternFill patternType="solid">
        <fgColor rgb="FFFFFF00"/>
        <bgColor indexed="64"/>
      </patternFill>
    </fill>
    <fill>
      <patternFill patternType="solid">
        <fgColor rgb="FFFFFFFF"/>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0"/>
        <bgColor indexed="64"/>
      </patternFill>
    </fill>
    <fill>
      <patternFill patternType="solid">
        <fgColor rgb="FF4F81BD"/>
        <bgColor indexed="64"/>
      </patternFill>
    </fill>
    <fill>
      <patternFill patternType="solid">
        <fgColor rgb="FFF2F2F2"/>
        <bgColor indexed="64"/>
      </patternFill>
    </fill>
    <fill>
      <patternFill patternType="solid">
        <fgColor rgb="FFD8D8D8"/>
        <bgColor indexed="64"/>
      </patternFill>
    </fill>
    <fill>
      <patternFill patternType="solid">
        <fgColor rgb="FF007042"/>
        <bgColor indexed="64"/>
      </patternFill>
    </fill>
    <fill>
      <patternFill patternType="solid">
        <fgColor rgb="FF00C877"/>
        <bgColor indexed="64"/>
      </patternFill>
    </fill>
    <fill>
      <patternFill patternType="solid">
        <fgColor rgb="FF0E5331"/>
        <bgColor indexed="64"/>
      </patternFill>
    </fill>
    <fill>
      <patternFill patternType="solid">
        <fgColor theme="1" tint="0.499984740745262"/>
        <bgColor indexed="64"/>
      </patternFill>
    </fill>
    <fill>
      <patternFill patternType="solid">
        <fgColor theme="2"/>
        <bgColor indexed="64"/>
      </patternFill>
    </fill>
    <fill>
      <patternFill patternType="solid">
        <fgColor rgb="FF00AA6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theme="4" tint="-0.499984740745262"/>
        <bgColor indexed="64"/>
      </patternFill>
    </fill>
    <fill>
      <patternFill patternType="solid">
        <fgColor rgb="FF00B0F0"/>
        <bgColor indexed="64"/>
      </patternFill>
    </fill>
    <fill>
      <patternFill patternType="solid">
        <fgColor rgb="FFB8BF11"/>
        <bgColor indexed="64"/>
      </patternFill>
    </fill>
    <fill>
      <patternFill patternType="solid">
        <fgColor rgb="FFF2F3F1"/>
        <bgColor indexed="64"/>
      </patternFill>
    </fill>
  </fills>
  <borders count="32">
    <border>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s>
  <cellStyleXfs count="25">
    <xf numFmtId="0" fontId="0" fillId="0" borderId="0"/>
    <xf numFmtId="43" fontId="1" fillId="0" borderId="0" applyFont="0" applyFill="0" applyBorder="0" applyAlignment="0" applyProtection="0"/>
    <xf numFmtId="9" fontId="1" fillId="0" borderId="0" applyFont="0" applyFill="0" applyBorder="0" applyAlignment="0" applyProtection="0"/>
    <xf numFmtId="4" fontId="3" fillId="5" borderId="7">
      <alignment horizontal="right"/>
    </xf>
    <xf numFmtId="0" fontId="11" fillId="9" borderId="0"/>
    <xf numFmtId="0" fontId="12" fillId="9" borderId="12" applyNumberFormat="0" applyProtection="0">
      <alignment horizontal="left" vertical="center" readingOrder="1"/>
    </xf>
    <xf numFmtId="0" fontId="13" fillId="5" borderId="0" applyNumberFormat="0" applyBorder="0" applyProtection="0">
      <alignment horizontal="center"/>
    </xf>
    <xf numFmtId="0" fontId="14" fillId="9" borderId="3">
      <alignment horizontal="left"/>
    </xf>
    <xf numFmtId="0" fontId="14" fillId="9" borderId="3">
      <alignment horizontal="right"/>
    </xf>
    <xf numFmtId="0" fontId="14" fillId="9" borderId="6">
      <alignment horizontal="left"/>
    </xf>
    <xf numFmtId="0" fontId="14" fillId="9" borderId="6">
      <alignment horizontal="right"/>
    </xf>
    <xf numFmtId="0" fontId="15" fillId="5" borderId="9"/>
    <xf numFmtId="3" fontId="15" fillId="5" borderId="7">
      <alignment horizontal="right"/>
    </xf>
    <xf numFmtId="0" fontId="16" fillId="5" borderId="9"/>
    <xf numFmtId="0" fontId="17" fillId="5" borderId="9"/>
    <xf numFmtId="4" fontId="18" fillId="5" borderId="7">
      <alignment horizontal="right"/>
    </xf>
    <xf numFmtId="4" fontId="15" fillId="5" borderId="7">
      <alignment horizontal="right"/>
    </xf>
    <xf numFmtId="3" fontId="3" fillId="5" borderId="7">
      <alignment horizontal="right"/>
    </xf>
    <xf numFmtId="0" fontId="18" fillId="10" borderId="8" applyNumberFormat="0" applyAlignment="0" applyProtection="0"/>
    <xf numFmtId="3" fontId="15" fillId="11" borderId="7">
      <alignment horizontal="right"/>
    </xf>
    <xf numFmtId="4" fontId="3" fillId="11" borderId="7">
      <alignment horizontal="right"/>
    </xf>
    <xf numFmtId="4" fontId="18" fillId="11" borderId="7">
      <alignment horizontal="right"/>
    </xf>
    <xf numFmtId="4" fontId="15" fillId="11" borderId="7">
      <alignment horizontal="right"/>
    </xf>
    <xf numFmtId="3" fontId="3" fillId="11" borderId="7">
      <alignment horizontal="right"/>
    </xf>
    <xf numFmtId="44" fontId="1" fillId="0" borderId="0" applyFont="0" applyFill="0" applyBorder="0" applyAlignment="0" applyProtection="0"/>
  </cellStyleXfs>
  <cellXfs count="343">
    <xf numFmtId="0" fontId="0" fillId="0" borderId="0" xfId="0"/>
    <xf numFmtId="0" fontId="0" fillId="0" borderId="1" xfId="0" applyBorder="1"/>
    <xf numFmtId="0" fontId="0" fillId="0" borderId="2" xfId="0" applyBorder="1"/>
    <xf numFmtId="10" fontId="0" fillId="0" borderId="2" xfId="2" applyNumberFormat="1" applyFont="1" applyBorder="1"/>
    <xf numFmtId="164" fontId="0" fillId="0" borderId="2" xfId="0" applyNumberFormat="1" applyBorder="1"/>
    <xf numFmtId="0" fontId="0" fillId="0" borderId="4" xfId="0" applyBorder="1"/>
    <xf numFmtId="10" fontId="0" fillId="0" borderId="4" xfId="2" applyNumberFormat="1" applyFont="1" applyBorder="1"/>
    <xf numFmtId="3" fontId="0" fillId="0" borderId="4" xfId="0" applyNumberFormat="1" applyBorder="1"/>
    <xf numFmtId="4" fontId="3" fillId="5" borderId="7" xfId="3">
      <alignment horizontal="right"/>
    </xf>
    <xf numFmtId="0" fontId="4" fillId="0" borderId="0" xfId="0" applyFont="1"/>
    <xf numFmtId="0" fontId="5" fillId="0" borderId="0" xfId="0" applyFont="1"/>
    <xf numFmtId="0" fontId="6" fillId="0" borderId="0" xfId="0" applyFont="1"/>
    <xf numFmtId="0" fontId="0" fillId="7" borderId="10" xfId="0" applyFill="1" applyBorder="1" applyAlignment="1">
      <alignment horizontal="center"/>
    </xf>
    <xf numFmtId="43" fontId="8" fillId="0" borderId="0" xfId="1" applyFont="1"/>
    <xf numFmtId="43" fontId="7" fillId="0" borderId="0" xfId="1" applyFont="1"/>
    <xf numFmtId="0" fontId="7" fillId="0" borderId="0" xfId="0" applyFont="1"/>
    <xf numFmtId="43" fontId="7" fillId="0" borderId="0" xfId="1" applyFont="1" applyBorder="1"/>
    <xf numFmtId="0" fontId="7" fillId="7" borderId="10" xfId="0" applyFont="1" applyFill="1" applyBorder="1" applyAlignment="1">
      <alignment horizontal="center"/>
    </xf>
    <xf numFmtId="165" fontId="7" fillId="0" borderId="0" xfId="0" applyNumberFormat="1" applyFont="1"/>
    <xf numFmtId="14" fontId="7" fillId="7" borderId="10" xfId="0" applyNumberFormat="1" applyFont="1" applyFill="1" applyBorder="1" applyAlignment="1">
      <alignment horizontal="center"/>
    </xf>
    <xf numFmtId="166" fontId="7" fillId="0" borderId="0" xfId="2" applyNumberFormat="1" applyFont="1"/>
    <xf numFmtId="43" fontId="7" fillId="0" borderId="0" xfId="1" applyFont="1" applyFill="1" applyBorder="1"/>
    <xf numFmtId="43" fontId="8" fillId="6" borderId="0" xfId="1" applyFont="1" applyFill="1" applyBorder="1"/>
    <xf numFmtId="43" fontId="7" fillId="6" borderId="0" xfId="1" applyFont="1" applyFill="1" applyBorder="1"/>
    <xf numFmtId="43" fontId="7" fillId="0" borderId="4" xfId="1" applyFont="1" applyBorder="1"/>
    <xf numFmtId="9" fontId="7" fillId="0" borderId="4" xfId="2" applyFont="1" applyBorder="1"/>
    <xf numFmtId="9" fontId="7" fillId="3" borderId="4" xfId="1" applyNumberFormat="1" applyFont="1" applyFill="1" applyBorder="1"/>
    <xf numFmtId="9" fontId="7" fillId="3" borderId="4" xfId="2" applyFont="1" applyFill="1" applyBorder="1"/>
    <xf numFmtId="9" fontId="7" fillId="0" borderId="0" xfId="2" applyFont="1"/>
    <xf numFmtId="43" fontId="7" fillId="3" borderId="4" xfId="1" applyFont="1" applyFill="1" applyBorder="1"/>
    <xf numFmtId="43" fontId="7" fillId="0" borderId="5" xfId="1" applyFont="1" applyBorder="1"/>
    <xf numFmtId="43" fontId="7" fillId="3" borderId="0" xfId="1" applyFont="1" applyFill="1"/>
    <xf numFmtId="43" fontId="7" fillId="0" borderId="4" xfId="1" applyFont="1" applyBorder="1" applyAlignment="1"/>
    <xf numFmtId="43" fontId="7" fillId="0" borderId="4" xfId="1" quotePrefix="1" applyFont="1" applyBorder="1" applyAlignment="1"/>
    <xf numFmtId="43" fontId="7" fillId="0" borderId="3" xfId="1" applyFont="1" applyBorder="1"/>
    <xf numFmtId="43" fontId="7" fillId="0" borderId="6" xfId="1" applyFont="1" applyBorder="1"/>
    <xf numFmtId="43" fontId="7" fillId="4" borderId="4" xfId="1" applyFont="1" applyFill="1" applyBorder="1"/>
    <xf numFmtId="43" fontId="9" fillId="0" borderId="0" xfId="1" applyFont="1"/>
    <xf numFmtId="0" fontId="7" fillId="8" borderId="0" xfId="1" applyNumberFormat="1" applyFont="1" applyFill="1" applyBorder="1"/>
    <xf numFmtId="0" fontId="8" fillId="2" borderId="11" xfId="1" applyNumberFormat="1" applyFont="1" applyFill="1" applyBorder="1"/>
    <xf numFmtId="0" fontId="8" fillId="2" borderId="12" xfId="1" applyNumberFormat="1" applyFont="1" applyFill="1" applyBorder="1"/>
    <xf numFmtId="0" fontId="8" fillId="6" borderId="12" xfId="1" applyNumberFormat="1" applyFont="1" applyFill="1" applyBorder="1"/>
    <xf numFmtId="0" fontId="8" fillId="6" borderId="5" xfId="1" applyNumberFormat="1" applyFont="1" applyFill="1" applyBorder="1"/>
    <xf numFmtId="167" fontId="0" fillId="7" borderId="10" xfId="0" applyNumberFormat="1" applyFill="1" applyBorder="1" applyAlignment="1">
      <alignment horizontal="center"/>
    </xf>
    <xf numFmtId="10" fontId="0" fillId="7" borderId="10" xfId="0" applyNumberFormat="1" applyFill="1" applyBorder="1" applyAlignment="1">
      <alignment horizontal="center"/>
    </xf>
    <xf numFmtId="44" fontId="7" fillId="0" borderId="4" xfId="0" applyNumberFormat="1" applyFont="1" applyBorder="1"/>
    <xf numFmtId="43" fontId="7" fillId="2" borderId="12" xfId="1" applyFont="1" applyFill="1" applyBorder="1"/>
    <xf numFmtId="43" fontId="7" fillId="3" borderId="5" xfId="1" applyFont="1" applyFill="1" applyBorder="1"/>
    <xf numFmtId="43" fontId="7" fillId="0" borderId="4" xfId="1" applyFont="1" applyFill="1" applyBorder="1"/>
    <xf numFmtId="0" fontId="11" fillId="9" borderId="0" xfId="4"/>
    <xf numFmtId="0" fontId="12" fillId="9" borderId="12" xfId="5">
      <alignment horizontal="left" vertical="center" readingOrder="1"/>
    </xf>
    <xf numFmtId="0" fontId="13" fillId="5" borderId="0" xfId="6">
      <alignment horizontal="center"/>
    </xf>
    <xf numFmtId="0" fontId="14" fillId="9" borderId="3" xfId="7">
      <alignment horizontal="left"/>
    </xf>
    <xf numFmtId="0" fontId="14" fillId="9" borderId="3" xfId="8">
      <alignment horizontal="right"/>
    </xf>
    <xf numFmtId="0" fontId="14" fillId="9" borderId="6" xfId="9">
      <alignment horizontal="left"/>
    </xf>
    <xf numFmtId="0" fontId="14" fillId="9" borderId="6" xfId="10">
      <alignment horizontal="right"/>
    </xf>
    <xf numFmtId="0" fontId="15" fillId="5" borderId="9" xfId="11"/>
    <xf numFmtId="3" fontId="15" fillId="5" borderId="7" xfId="12">
      <alignment horizontal="right"/>
    </xf>
    <xf numFmtId="0" fontId="16" fillId="5" borderId="9" xfId="13"/>
    <xf numFmtId="0" fontId="17" fillId="5" borderId="9" xfId="14"/>
    <xf numFmtId="4" fontId="18" fillId="5" borderId="7" xfId="15">
      <alignment horizontal="right"/>
    </xf>
    <xf numFmtId="4" fontId="15" fillId="5" borderId="7" xfId="16">
      <alignment horizontal="right"/>
    </xf>
    <xf numFmtId="3" fontId="3" fillId="5" borderId="7" xfId="17">
      <alignment horizontal="right"/>
    </xf>
    <xf numFmtId="0" fontId="18" fillId="10" borderId="8" xfId="18"/>
    <xf numFmtId="3" fontId="15" fillId="11" borderId="7" xfId="19">
      <alignment horizontal="right"/>
    </xf>
    <xf numFmtId="4" fontId="3" fillId="11" borderId="7" xfId="20">
      <alignment horizontal="right"/>
    </xf>
    <xf numFmtId="4" fontId="18" fillId="11" borderId="7" xfId="21">
      <alignment horizontal="right"/>
    </xf>
    <xf numFmtId="4" fontId="15" fillId="11" borderId="7" xfId="22">
      <alignment horizontal="right"/>
    </xf>
    <xf numFmtId="3" fontId="3" fillId="11" borderId="7" xfId="23">
      <alignment horizontal="right"/>
    </xf>
    <xf numFmtId="4" fontId="0" fillId="0" borderId="0" xfId="0" applyNumberFormat="1"/>
    <xf numFmtId="8" fontId="0" fillId="0" borderId="0" xfId="0" applyNumberFormat="1"/>
    <xf numFmtId="43" fontId="7" fillId="0" borderId="0" xfId="1" applyFont="1" applyBorder="1" applyAlignment="1"/>
    <xf numFmtId="167" fontId="0" fillId="7" borderId="10" xfId="2" applyNumberFormat="1" applyFont="1" applyFill="1" applyBorder="1" applyAlignment="1">
      <alignment horizontal="center"/>
    </xf>
    <xf numFmtId="3" fontId="7" fillId="0" borderId="4" xfId="0" applyNumberFormat="1" applyFont="1" applyBorder="1"/>
    <xf numFmtId="10" fontId="0" fillId="0" borderId="4" xfId="0" applyNumberFormat="1" applyBorder="1"/>
    <xf numFmtId="10" fontId="0" fillId="0" borderId="0" xfId="0" applyNumberFormat="1"/>
    <xf numFmtId="0" fontId="0" fillId="0" borderId="4" xfId="0" applyBorder="1" applyAlignment="1">
      <alignment horizontal="center"/>
    </xf>
    <xf numFmtId="168" fontId="0" fillId="0" borderId="4" xfId="0" applyNumberFormat="1" applyBorder="1"/>
    <xf numFmtId="9" fontId="0" fillId="0" borderId="4" xfId="0" applyNumberFormat="1" applyBorder="1"/>
    <xf numFmtId="43" fontId="0" fillId="0" borderId="4" xfId="1" applyFont="1" applyBorder="1"/>
    <xf numFmtId="43" fontId="0" fillId="0" borderId="4" xfId="0" applyNumberFormat="1" applyBorder="1"/>
    <xf numFmtId="10" fontId="0" fillId="0" borderId="0" xfId="2" applyNumberFormat="1" applyFont="1" applyBorder="1"/>
    <xf numFmtId="164" fontId="0" fillId="7" borderId="10" xfId="0" applyNumberFormat="1" applyFill="1" applyBorder="1" applyAlignment="1">
      <alignment horizontal="center"/>
    </xf>
    <xf numFmtId="9" fontId="7" fillId="3" borderId="0" xfId="2" applyFont="1" applyFill="1"/>
    <xf numFmtId="9" fontId="7" fillId="0" borderId="0" xfId="2" applyFont="1" applyBorder="1"/>
    <xf numFmtId="9" fontId="7" fillId="3" borderId="0" xfId="1" applyNumberFormat="1" applyFont="1" applyFill="1" applyBorder="1"/>
    <xf numFmtId="9" fontId="0" fillId="0" borderId="0" xfId="2" applyFont="1"/>
    <xf numFmtId="9" fontId="18" fillId="5" borderId="4" xfId="2" applyFont="1" applyFill="1" applyBorder="1" applyAlignment="1">
      <alignment horizontal="right"/>
    </xf>
    <xf numFmtId="10" fontId="7" fillId="0" borderId="0" xfId="0" applyNumberFormat="1" applyFont="1"/>
    <xf numFmtId="9" fontId="0" fillId="0" borderId="0" xfId="0" applyNumberFormat="1"/>
    <xf numFmtId="9" fontId="7" fillId="0" borderId="0" xfId="0" applyNumberFormat="1" applyFont="1"/>
    <xf numFmtId="0" fontId="7" fillId="12" borderId="0" xfId="0" applyFont="1" applyFill="1"/>
    <xf numFmtId="10" fontId="21" fillId="13" borderId="12" xfId="0" applyNumberFormat="1" applyFont="1" applyFill="1" applyBorder="1"/>
    <xf numFmtId="0" fontId="20" fillId="8" borderId="0" xfId="0" applyFont="1" applyFill="1"/>
    <xf numFmtId="165" fontId="21" fillId="8" borderId="0" xfId="0" applyNumberFormat="1" applyFont="1" applyFill="1" applyAlignment="1">
      <alignment horizontal="center"/>
    </xf>
    <xf numFmtId="10" fontId="21" fillId="13" borderId="8" xfId="0" applyNumberFormat="1" applyFont="1" applyFill="1" applyBorder="1" applyAlignment="1">
      <alignment horizontal="center"/>
    </xf>
    <xf numFmtId="2" fontId="7" fillId="16" borderId="15" xfId="0" applyNumberFormat="1" applyFont="1" applyFill="1" applyBorder="1" applyAlignment="1">
      <alignment horizontal="center"/>
    </xf>
    <xf numFmtId="2" fontId="7" fillId="16" borderId="8" xfId="0" applyNumberFormat="1" applyFont="1" applyFill="1" applyBorder="1" applyAlignment="1">
      <alignment horizontal="center"/>
    </xf>
    <xf numFmtId="2" fontId="7" fillId="16" borderId="18" xfId="0" applyNumberFormat="1" applyFont="1" applyFill="1" applyBorder="1" applyAlignment="1">
      <alignment horizontal="center"/>
    </xf>
    <xf numFmtId="2" fontId="7" fillId="16" borderId="9" xfId="0" applyNumberFormat="1" applyFont="1" applyFill="1" applyBorder="1" applyAlignment="1">
      <alignment horizontal="center"/>
    </xf>
    <xf numFmtId="2" fontId="7" fillId="2" borderId="0" xfId="0" applyNumberFormat="1" applyFont="1" applyFill="1" applyAlignment="1">
      <alignment horizontal="center"/>
    </xf>
    <xf numFmtId="2" fontId="7" fillId="16" borderId="14" xfId="0" applyNumberFormat="1" applyFont="1" applyFill="1" applyBorder="1" applyAlignment="1">
      <alignment horizontal="center"/>
    </xf>
    <xf numFmtId="2" fontId="21" fillId="15" borderId="0" xfId="0" applyNumberFormat="1" applyFont="1" applyFill="1" applyAlignment="1">
      <alignment horizontal="center"/>
    </xf>
    <xf numFmtId="2" fontId="7" fillId="16" borderId="16" xfId="0" applyNumberFormat="1" applyFont="1" applyFill="1" applyBorder="1" applyAlignment="1">
      <alignment horizontal="center"/>
    </xf>
    <xf numFmtId="2" fontId="7" fillId="16" borderId="13" xfId="0" applyNumberFormat="1" applyFont="1" applyFill="1" applyBorder="1" applyAlignment="1">
      <alignment horizontal="center"/>
    </xf>
    <xf numFmtId="2" fontId="7" fillId="16" borderId="17" xfId="0" applyNumberFormat="1" applyFont="1" applyFill="1" applyBorder="1" applyAlignment="1">
      <alignment horizontal="center"/>
    </xf>
    <xf numFmtId="10" fontId="21" fillId="13" borderId="15" xfId="0" applyNumberFormat="1" applyFont="1" applyFill="1" applyBorder="1" applyAlignment="1">
      <alignment horizontal="center"/>
    </xf>
    <xf numFmtId="10" fontId="21" fillId="13" borderId="18" xfId="0" applyNumberFormat="1" applyFont="1" applyFill="1" applyBorder="1" applyAlignment="1">
      <alignment horizontal="center"/>
    </xf>
    <xf numFmtId="0" fontId="22" fillId="0" borderId="12" xfId="0" applyFont="1" applyBorder="1" applyAlignment="1">
      <alignment horizontal="justify" vertical="center"/>
    </xf>
    <xf numFmtId="10" fontId="22" fillId="0" borderId="12" xfId="0" applyNumberFormat="1" applyFont="1" applyBorder="1" applyAlignment="1">
      <alignment horizontal="center" vertical="center"/>
    </xf>
    <xf numFmtId="0" fontId="0" fillId="0" borderId="12" xfId="0" applyBorder="1" applyAlignment="1">
      <alignment vertical="top"/>
    </xf>
    <xf numFmtId="0" fontId="23" fillId="12" borderId="13" xfId="0" applyFont="1" applyFill="1" applyBorder="1" applyAlignment="1">
      <alignment horizontal="justify" vertical="center"/>
    </xf>
    <xf numFmtId="0" fontId="23" fillId="12" borderId="13" xfId="0" applyFont="1" applyFill="1" applyBorder="1" applyAlignment="1">
      <alignment horizontal="center" vertical="center"/>
    </xf>
    <xf numFmtId="0" fontId="22" fillId="0" borderId="12" xfId="0" applyFont="1" applyBorder="1" applyAlignment="1">
      <alignment horizontal="center" vertical="center"/>
    </xf>
    <xf numFmtId="9" fontId="7" fillId="0" borderId="0" xfId="2" applyFont="1" applyFill="1" applyBorder="1"/>
    <xf numFmtId="169" fontId="0" fillId="0" borderId="0" xfId="0" applyNumberFormat="1" applyAlignment="1">
      <alignment horizontal="right"/>
    </xf>
    <xf numFmtId="1" fontId="0" fillId="0" borderId="0" xfId="0" applyNumberFormat="1" applyAlignment="1">
      <alignment horizontal="right"/>
    </xf>
    <xf numFmtId="0" fontId="0" fillId="0" borderId="0" xfId="0" applyAlignment="1">
      <alignment horizontal="center"/>
    </xf>
    <xf numFmtId="170" fontId="0" fillId="0" borderId="0" xfId="1" applyNumberFormat="1" applyFont="1" applyAlignment="1">
      <alignment horizontal="center"/>
    </xf>
    <xf numFmtId="170" fontId="0" fillId="0" borderId="0" xfId="1" applyNumberFormat="1" applyFont="1" applyAlignment="1">
      <alignment horizontal="left"/>
    </xf>
    <xf numFmtId="0" fontId="19" fillId="12" borderId="15" xfId="0" applyFont="1" applyFill="1" applyBorder="1"/>
    <xf numFmtId="0" fontId="19" fillId="12" borderId="8" xfId="0" applyFont="1" applyFill="1" applyBorder="1" applyAlignment="1">
      <alignment horizontal="right"/>
    </xf>
    <xf numFmtId="0" fontId="19" fillId="12" borderId="18" xfId="0" applyFont="1" applyFill="1" applyBorder="1" applyAlignment="1">
      <alignment horizontal="right"/>
    </xf>
    <xf numFmtId="0" fontId="19" fillId="13" borderId="9" xfId="0" applyFont="1" applyFill="1" applyBorder="1" applyAlignment="1">
      <alignment horizontal="left"/>
    </xf>
    <xf numFmtId="169" fontId="0" fillId="0" borderId="14" xfId="0" applyNumberFormat="1" applyBorder="1" applyAlignment="1">
      <alignment horizontal="right"/>
    </xf>
    <xf numFmtId="170" fontId="0" fillId="0" borderId="0" xfId="1" applyNumberFormat="1" applyFont="1" applyBorder="1" applyAlignment="1">
      <alignment horizontal="left"/>
    </xf>
    <xf numFmtId="170" fontId="0" fillId="0" borderId="0" xfId="1" applyNumberFormat="1" applyFont="1" applyBorder="1" applyAlignment="1">
      <alignment horizontal="center"/>
    </xf>
    <xf numFmtId="170" fontId="0" fillId="0" borderId="14" xfId="1" applyNumberFormat="1" applyFont="1" applyBorder="1" applyAlignment="1">
      <alignment horizontal="center"/>
    </xf>
    <xf numFmtId="1" fontId="0" fillId="0" borderId="14" xfId="0" applyNumberFormat="1" applyBorder="1" applyAlignment="1">
      <alignment horizontal="right"/>
    </xf>
    <xf numFmtId="0" fontId="19" fillId="13" borderId="16" xfId="0" applyFont="1" applyFill="1" applyBorder="1" applyAlignment="1">
      <alignment horizontal="left"/>
    </xf>
    <xf numFmtId="169" fontId="0" fillId="0" borderId="13" xfId="0" applyNumberFormat="1" applyBorder="1" applyAlignment="1">
      <alignment horizontal="right"/>
    </xf>
    <xf numFmtId="169" fontId="0" fillId="0" borderId="17" xfId="0" applyNumberFormat="1" applyBorder="1" applyAlignment="1">
      <alignment horizontal="right"/>
    </xf>
    <xf numFmtId="170" fontId="0" fillId="0" borderId="0" xfId="1" applyNumberFormat="1" applyFont="1" applyBorder="1" applyAlignment="1">
      <alignment horizontal="right"/>
    </xf>
    <xf numFmtId="170" fontId="0" fillId="0" borderId="14" xfId="1" applyNumberFormat="1" applyFont="1" applyBorder="1" applyAlignment="1">
      <alignment horizontal="right"/>
    </xf>
    <xf numFmtId="170" fontId="0" fillId="0" borderId="0" xfId="1" applyNumberFormat="1" applyFont="1" applyAlignment="1">
      <alignment horizontal="right"/>
    </xf>
    <xf numFmtId="0" fontId="28" fillId="12" borderId="3" xfId="0" applyFont="1" applyFill="1" applyBorder="1" applyAlignment="1">
      <alignment vertical="center"/>
    </xf>
    <xf numFmtId="0" fontId="25" fillId="0" borderId="7" xfId="0" applyFont="1" applyBorder="1" applyAlignment="1">
      <alignment horizontal="left" vertical="center" indent="4"/>
    </xf>
    <xf numFmtId="0" fontId="0" fillId="0" borderId="7" xfId="0" applyBorder="1"/>
    <xf numFmtId="0" fontId="28" fillId="12" borderId="7" xfId="0" applyFont="1" applyFill="1" applyBorder="1" applyAlignment="1">
      <alignment vertical="center"/>
    </xf>
    <xf numFmtId="0" fontId="26" fillId="0" borderId="7" xfId="0" applyFont="1" applyBorder="1" applyAlignment="1">
      <alignment horizontal="left" vertical="center" indent="4"/>
    </xf>
    <xf numFmtId="0" fontId="27" fillId="0" borderId="7" xfId="0" applyFont="1" applyBorder="1" applyAlignment="1">
      <alignment horizontal="left" vertical="center" indent="4"/>
    </xf>
    <xf numFmtId="0" fontId="27" fillId="0" borderId="6" xfId="0" applyFont="1" applyBorder="1" applyAlignment="1">
      <alignment horizontal="left" vertical="center" indent="4"/>
    </xf>
    <xf numFmtId="0" fontId="27" fillId="2" borderId="7" xfId="0" applyFont="1" applyFill="1" applyBorder="1" applyAlignment="1">
      <alignment vertical="center"/>
    </xf>
    <xf numFmtId="0" fontId="2" fillId="0" borderId="0" xfId="0" applyFont="1"/>
    <xf numFmtId="0" fontId="29" fillId="13" borderId="9" xfId="0" applyFont="1" applyFill="1" applyBorder="1" applyAlignment="1">
      <alignment horizontal="center" vertical="center"/>
    </xf>
    <xf numFmtId="0" fontId="29" fillId="13" borderId="0" xfId="0" applyFont="1" applyFill="1" applyAlignment="1">
      <alignment horizontal="center" vertical="center"/>
    </xf>
    <xf numFmtId="0" fontId="29" fillId="13" borderId="0" xfId="0" applyFont="1" applyFill="1" applyAlignment="1">
      <alignment horizontal="center" vertical="center" wrapText="1"/>
    </xf>
    <xf numFmtId="0" fontId="29" fillId="13" borderId="14" xfId="0" applyFont="1" applyFill="1" applyBorder="1" applyAlignment="1">
      <alignment horizontal="center" vertical="center"/>
    </xf>
    <xf numFmtId="0" fontId="29" fillId="13" borderId="14" xfId="0" applyFont="1" applyFill="1" applyBorder="1" applyAlignment="1">
      <alignment horizontal="center" vertical="center" wrapText="1"/>
    </xf>
    <xf numFmtId="0" fontId="2" fillId="0" borderId="0" xfId="0" applyFont="1" applyAlignment="1">
      <alignment horizontal="center"/>
    </xf>
    <xf numFmtId="0" fontId="2" fillId="0" borderId="13" xfId="0" applyFont="1" applyBorder="1" applyAlignment="1">
      <alignment horizontal="center"/>
    </xf>
    <xf numFmtId="0" fontId="2" fillId="0" borderId="9" xfId="0" applyFont="1" applyBorder="1" applyAlignment="1">
      <alignment horizontal="center"/>
    </xf>
    <xf numFmtId="171" fontId="2" fillId="0" borderId="14" xfId="2" applyNumberFormat="1" applyFont="1" applyBorder="1" applyAlignment="1">
      <alignment horizontal="center"/>
    </xf>
    <xf numFmtId="0" fontId="2" fillId="0" borderId="9" xfId="0" applyFont="1" applyBorder="1" applyAlignment="1">
      <alignment horizontal="center" wrapText="1"/>
    </xf>
    <xf numFmtId="10" fontId="2" fillId="0" borderId="14" xfId="0" applyNumberFormat="1" applyFont="1" applyBorder="1" applyAlignment="1">
      <alignment horizontal="center"/>
    </xf>
    <xf numFmtId="0" fontId="2" fillId="0" borderId="14" xfId="0" applyFont="1" applyBorder="1" applyAlignment="1">
      <alignment horizontal="center"/>
    </xf>
    <xf numFmtId="171" fontId="2" fillId="0" borderId="14" xfId="0" applyNumberFormat="1" applyFont="1" applyBorder="1" applyAlignment="1">
      <alignment horizontal="center"/>
    </xf>
    <xf numFmtId="0" fontId="2" fillId="0" borderId="16" xfId="0" applyFont="1" applyBorder="1" applyAlignment="1">
      <alignment horizontal="center"/>
    </xf>
    <xf numFmtId="10" fontId="2" fillId="0" borderId="17" xfId="0" applyNumberFormat="1" applyFont="1" applyBorder="1" applyAlignment="1">
      <alignment horizontal="center"/>
    </xf>
    <xf numFmtId="44" fontId="2" fillId="0" borderId="0" xfId="24" applyFont="1" applyBorder="1" applyAlignment="1">
      <alignment horizontal="center"/>
    </xf>
    <xf numFmtId="0" fontId="2" fillId="0" borderId="0" xfId="0" applyFont="1" applyAlignment="1">
      <alignment horizontal="center" wrapText="1"/>
    </xf>
    <xf numFmtId="44" fontId="2" fillId="0" borderId="13" xfId="24" applyFont="1" applyBorder="1" applyAlignment="1">
      <alignment horizontal="center"/>
    </xf>
    <xf numFmtId="0" fontId="2" fillId="0" borderId="17" xfId="0" applyFont="1" applyBorder="1" applyAlignment="1">
      <alignment horizontal="center"/>
    </xf>
    <xf numFmtId="2" fontId="7" fillId="16" borderId="0" xfId="0" applyNumberFormat="1" applyFont="1" applyFill="1" applyAlignment="1">
      <alignment horizontal="center"/>
    </xf>
    <xf numFmtId="10" fontId="21" fillId="13" borderId="3" xfId="0" applyNumberFormat="1" applyFont="1" applyFill="1" applyBorder="1"/>
    <xf numFmtId="10" fontId="21" fillId="13" borderId="7" xfId="0" applyNumberFormat="1" applyFont="1" applyFill="1" applyBorder="1"/>
    <xf numFmtId="10" fontId="21" fillId="13" borderId="6" xfId="0" applyNumberFormat="1" applyFont="1" applyFill="1" applyBorder="1"/>
    <xf numFmtId="0" fontId="30" fillId="0" borderId="0" xfId="0" applyFont="1"/>
    <xf numFmtId="0" fontId="2" fillId="2" borderId="0" xfId="0" applyFont="1" applyFill="1"/>
    <xf numFmtId="0" fontId="2" fillId="0" borderId="0" xfId="0" applyFont="1" applyAlignment="1">
      <alignment horizontal="right"/>
    </xf>
    <xf numFmtId="10" fontId="2" fillId="0" borderId="0" xfId="0" applyNumberFormat="1" applyFont="1" applyAlignment="1">
      <alignment horizontal="right"/>
    </xf>
    <xf numFmtId="170" fontId="2" fillId="0" borderId="0" xfId="1" applyNumberFormat="1" applyFont="1" applyAlignment="1">
      <alignment horizontal="right"/>
    </xf>
    <xf numFmtId="0" fontId="19" fillId="12" borderId="15" xfId="0" applyFont="1" applyFill="1" applyBorder="1" applyAlignment="1">
      <alignment horizontal="right"/>
    </xf>
    <xf numFmtId="0" fontId="29" fillId="13" borderId="9" xfId="0" applyFont="1" applyFill="1" applyBorder="1" applyAlignment="1">
      <alignment horizontal="center" vertical="center" wrapText="1"/>
    </xf>
    <xf numFmtId="0" fontId="21" fillId="12" borderId="11" xfId="1" applyNumberFormat="1" applyFont="1" applyFill="1" applyBorder="1"/>
    <xf numFmtId="0" fontId="21" fillId="12" borderId="12" xfId="1" applyNumberFormat="1" applyFont="1" applyFill="1" applyBorder="1"/>
    <xf numFmtId="43" fontId="21" fillId="12" borderId="12" xfId="1" applyFont="1" applyFill="1" applyBorder="1"/>
    <xf numFmtId="0" fontId="21" fillId="13" borderId="12" xfId="1" applyNumberFormat="1" applyFont="1" applyFill="1" applyBorder="1"/>
    <xf numFmtId="43" fontId="21" fillId="14" borderId="4" xfId="1" applyFont="1" applyFill="1" applyBorder="1"/>
    <xf numFmtId="43" fontId="21" fillId="12" borderId="0" xfId="1" applyFont="1" applyFill="1"/>
    <xf numFmtId="43" fontId="7" fillId="2" borderId="4" xfId="1" applyFont="1" applyFill="1" applyBorder="1"/>
    <xf numFmtId="0" fontId="34" fillId="12" borderId="13" xfId="0" applyFont="1" applyFill="1" applyBorder="1" applyAlignment="1">
      <alignment vertical="center" wrapText="1"/>
    </xf>
    <xf numFmtId="0" fontId="34" fillId="12" borderId="12" xfId="0" applyFont="1" applyFill="1" applyBorder="1" applyAlignment="1">
      <alignment vertical="center" wrapText="1"/>
    </xf>
    <xf numFmtId="0" fontId="34" fillId="12" borderId="8" xfId="0" applyFont="1" applyFill="1" applyBorder="1" applyAlignment="1">
      <alignment vertical="center" wrapText="1"/>
    </xf>
    <xf numFmtId="0" fontId="31" fillId="0" borderId="0" xfId="0" applyFont="1" applyAlignment="1">
      <alignment vertical="center" wrapText="1"/>
    </xf>
    <xf numFmtId="14" fontId="32" fillId="0" borderId="13" xfId="0" applyNumberFormat="1" applyFont="1" applyBorder="1" applyAlignment="1">
      <alignment horizontal="right" vertical="center" wrapText="1"/>
    </xf>
    <xf numFmtId="0" fontId="33" fillId="0" borderId="12" xfId="0" applyFont="1" applyBorder="1" applyAlignment="1">
      <alignment horizontal="right" vertical="center" wrapText="1"/>
    </xf>
    <xf numFmtId="0" fontId="32" fillId="0" borderId="12" xfId="0" applyFont="1" applyBorder="1" applyAlignment="1">
      <alignment horizontal="right" vertical="center" wrapText="1"/>
    </xf>
    <xf numFmtId="3" fontId="33" fillId="0" borderId="12" xfId="0" applyNumberFormat="1" applyFont="1" applyBorder="1" applyAlignment="1">
      <alignment horizontal="right" vertical="center" wrapText="1"/>
    </xf>
    <xf numFmtId="3" fontId="32" fillId="0" borderId="12" xfId="0" applyNumberFormat="1" applyFont="1" applyBorder="1" applyAlignment="1">
      <alignment horizontal="right" vertical="center" wrapText="1"/>
    </xf>
    <xf numFmtId="8" fontId="33" fillId="0" borderId="12" xfId="0" applyNumberFormat="1" applyFont="1" applyBorder="1" applyAlignment="1">
      <alignment horizontal="right" vertical="center" wrapText="1"/>
    </xf>
    <xf numFmtId="8" fontId="32" fillId="0" borderId="12" xfId="0" applyNumberFormat="1" applyFont="1" applyBorder="1" applyAlignment="1">
      <alignment horizontal="right" vertical="center" wrapText="1"/>
    </xf>
    <xf numFmtId="9" fontId="33" fillId="0" borderId="12" xfId="0" applyNumberFormat="1" applyFont="1" applyBorder="1" applyAlignment="1">
      <alignment horizontal="right" vertical="center" wrapText="1"/>
    </xf>
    <xf numFmtId="0" fontId="32" fillId="0" borderId="8" xfId="0" applyFont="1" applyBorder="1" applyAlignment="1">
      <alignment horizontal="right" vertical="center" wrapText="1"/>
    </xf>
    <xf numFmtId="44" fontId="0" fillId="0" borderId="0" xfId="24" applyFont="1" applyBorder="1" applyAlignment="1">
      <alignment horizontal="right"/>
    </xf>
    <xf numFmtId="44" fontId="0" fillId="0" borderId="13" xfId="24" applyFont="1" applyBorder="1" applyAlignment="1">
      <alignment horizontal="right"/>
    </xf>
    <xf numFmtId="44" fontId="0" fillId="0" borderId="14" xfId="24" applyFont="1" applyBorder="1" applyAlignment="1">
      <alignment horizontal="right"/>
    </xf>
    <xf numFmtId="44" fontId="0" fillId="0" borderId="17" xfId="24" applyFont="1" applyBorder="1" applyAlignment="1">
      <alignment horizontal="right"/>
    </xf>
    <xf numFmtId="9" fontId="7" fillId="0" borderId="11" xfId="2" applyFont="1" applyBorder="1"/>
    <xf numFmtId="43" fontId="7" fillId="0" borderId="11" xfId="1" applyFont="1" applyBorder="1"/>
    <xf numFmtId="0" fontId="19" fillId="12" borderId="19" xfId="0" applyFont="1" applyFill="1" applyBorder="1" applyAlignment="1">
      <alignment horizontal="left"/>
    </xf>
    <xf numFmtId="0" fontId="19" fillId="12" borderId="20" xfId="0" applyFont="1" applyFill="1" applyBorder="1" applyAlignment="1">
      <alignment horizontal="left"/>
    </xf>
    <xf numFmtId="0" fontId="19" fillId="17" borderId="21" xfId="0" applyFont="1" applyFill="1" applyBorder="1" applyAlignment="1">
      <alignment horizontal="left"/>
    </xf>
    <xf numFmtId="0" fontId="19" fillId="17" borderId="22" xfId="0" applyFont="1" applyFill="1" applyBorder="1" applyAlignment="1">
      <alignment horizontal="left"/>
    </xf>
    <xf numFmtId="43" fontId="7" fillId="0" borderId="1" xfId="1" applyFont="1" applyBorder="1"/>
    <xf numFmtId="9" fontId="7" fillId="3" borderId="2" xfId="1" applyNumberFormat="1" applyFont="1" applyFill="1" applyBorder="1"/>
    <xf numFmtId="9" fontId="7" fillId="3" borderId="2" xfId="2" applyFont="1" applyFill="1" applyBorder="1"/>
    <xf numFmtId="43" fontId="7" fillId="0" borderId="23" xfId="1" applyFont="1" applyBorder="1"/>
    <xf numFmtId="43" fontId="8" fillId="0" borderId="23" xfId="1" applyFont="1" applyBorder="1"/>
    <xf numFmtId="43" fontId="7" fillId="0" borderId="2" xfId="1" applyFont="1" applyBorder="1"/>
    <xf numFmtId="43" fontId="7" fillId="2" borderId="2" xfId="1" applyFont="1" applyFill="1" applyBorder="1"/>
    <xf numFmtId="43" fontId="7" fillId="0" borderId="24" xfId="1" applyFont="1" applyBorder="1"/>
    <xf numFmtId="170" fontId="7" fillId="3" borderId="4" xfId="1" applyNumberFormat="1" applyFont="1" applyFill="1" applyBorder="1"/>
    <xf numFmtId="167" fontId="7" fillId="0" borderId="0" xfId="0" applyNumberFormat="1" applyFont="1"/>
    <xf numFmtId="43" fontId="7" fillId="0" borderId="0" xfId="0" applyNumberFormat="1" applyFont="1"/>
    <xf numFmtId="170" fontId="7" fillId="0" borderId="0" xfId="0" applyNumberFormat="1" applyFont="1"/>
    <xf numFmtId="43" fontId="7" fillId="18" borderId="0" xfId="0" applyNumberFormat="1" applyFont="1" applyFill="1"/>
    <xf numFmtId="1" fontId="7" fillId="0" borderId="0" xfId="0" applyNumberFormat="1" applyFont="1"/>
    <xf numFmtId="2" fontId="7" fillId="0" borderId="0" xfId="0" applyNumberFormat="1" applyFont="1"/>
    <xf numFmtId="170" fontId="7" fillId="0" borderId="0" xfId="1" applyNumberFormat="1" applyFont="1"/>
    <xf numFmtId="0" fontId="7" fillId="0" borderId="0" xfId="1" applyNumberFormat="1" applyFont="1" applyFill="1" applyBorder="1"/>
    <xf numFmtId="43" fontId="8" fillId="0" borderId="1" xfId="1" applyFont="1" applyBorder="1"/>
    <xf numFmtId="43" fontId="8" fillId="0" borderId="4" xfId="1" applyFont="1" applyBorder="1"/>
    <xf numFmtId="43" fontId="8" fillId="2" borderId="4" xfId="1" applyFont="1" applyFill="1" applyBorder="1"/>
    <xf numFmtId="43" fontId="8" fillId="2" borderId="2" xfId="1" applyFont="1" applyFill="1" applyBorder="1"/>
    <xf numFmtId="0" fontId="8" fillId="0" borderId="0" xfId="0" applyFont="1"/>
    <xf numFmtId="43" fontId="7" fillId="0" borderId="0" xfId="1" quotePrefix="1" applyFont="1"/>
    <xf numFmtId="43" fontId="7" fillId="0" borderId="23" xfId="1" quotePrefix="1" applyFont="1" applyBorder="1"/>
    <xf numFmtId="1" fontId="7" fillId="0" borderId="0" xfId="2" applyNumberFormat="1" applyFont="1" applyBorder="1"/>
    <xf numFmtId="170" fontId="7" fillId="0" borderId="0" xfId="1" applyNumberFormat="1" applyFont="1" applyBorder="1"/>
    <xf numFmtId="1" fontId="7" fillId="3" borderId="4" xfId="2" applyNumberFormat="1" applyFont="1" applyFill="1" applyBorder="1"/>
    <xf numFmtId="1" fontId="7" fillId="3" borderId="2" xfId="2" applyNumberFormat="1" applyFont="1" applyFill="1" applyBorder="1"/>
    <xf numFmtId="170" fontId="7" fillId="0" borderId="0" xfId="2" applyNumberFormat="1" applyFont="1" applyBorder="1"/>
    <xf numFmtId="170" fontId="7" fillId="3" borderId="4" xfId="2" applyNumberFormat="1" applyFont="1" applyFill="1" applyBorder="1"/>
    <xf numFmtId="170" fontId="7" fillId="3" borderId="2" xfId="1" applyNumberFormat="1" applyFont="1" applyFill="1" applyBorder="1"/>
    <xf numFmtId="170" fontId="7" fillId="3" borderId="2" xfId="2" applyNumberFormat="1" applyFont="1" applyFill="1" applyBorder="1"/>
    <xf numFmtId="170" fontId="7" fillId="3" borderId="11" xfId="1" applyNumberFormat="1" applyFont="1" applyFill="1" applyBorder="1"/>
    <xf numFmtId="43" fontId="7" fillId="0" borderId="0" xfId="1" quotePrefix="1" applyFont="1" applyBorder="1"/>
    <xf numFmtId="9" fontId="7" fillId="3" borderId="11" xfId="2" applyFont="1" applyFill="1" applyBorder="1"/>
    <xf numFmtId="170" fontId="7" fillId="0" borderId="0" xfId="1" applyNumberFormat="1" applyFont="1" applyBorder="1" applyAlignment="1"/>
    <xf numFmtId="9" fontId="7" fillId="3" borderId="6" xfId="2" applyFont="1" applyFill="1" applyBorder="1"/>
    <xf numFmtId="170" fontId="7" fillId="0" borderId="4" xfId="1" applyNumberFormat="1" applyFont="1" applyBorder="1"/>
    <xf numFmtId="170" fontId="7" fillId="0" borderId="4" xfId="2" applyNumberFormat="1" applyFont="1" applyBorder="1"/>
    <xf numFmtId="1" fontId="7" fillId="0" borderId="4" xfId="2" applyNumberFormat="1" applyFont="1" applyBorder="1"/>
    <xf numFmtId="170" fontId="7" fillId="19" borderId="4" xfId="2" applyNumberFormat="1" applyFont="1" applyFill="1" applyBorder="1"/>
    <xf numFmtId="43" fontId="8" fillId="19" borderId="1" xfId="1" applyFont="1" applyFill="1" applyBorder="1"/>
    <xf numFmtId="170" fontId="7" fillId="19" borderId="2" xfId="2" applyNumberFormat="1" applyFont="1" applyFill="1" applyBorder="1"/>
    <xf numFmtId="43" fontId="7" fillId="0" borderId="1" xfId="1" quotePrefix="1" applyFont="1" applyBorder="1"/>
    <xf numFmtId="10" fontId="7" fillId="3" borderId="25" xfId="2" applyNumberFormat="1" applyFont="1" applyFill="1" applyBorder="1"/>
    <xf numFmtId="10" fontId="7" fillId="3" borderId="27" xfId="2" applyNumberFormat="1" applyFont="1" applyFill="1" applyBorder="1"/>
    <xf numFmtId="0" fontId="19" fillId="12" borderId="28" xfId="0" applyFont="1" applyFill="1" applyBorder="1" applyAlignment="1">
      <alignment horizontal="left"/>
    </xf>
    <xf numFmtId="0" fontId="19" fillId="12" borderId="29" xfId="0" applyFont="1" applyFill="1" applyBorder="1" applyAlignment="1">
      <alignment horizontal="left"/>
    </xf>
    <xf numFmtId="43" fontId="8" fillId="19" borderId="19" xfId="1" applyFont="1" applyFill="1" applyBorder="1"/>
    <xf numFmtId="170" fontId="7" fillId="19" borderId="20" xfId="2" applyNumberFormat="1" applyFont="1" applyFill="1" applyBorder="1"/>
    <xf numFmtId="170" fontId="7" fillId="19" borderId="30" xfId="2" applyNumberFormat="1" applyFont="1" applyFill="1" applyBorder="1"/>
    <xf numFmtId="9" fontId="7" fillId="0" borderId="25" xfId="2" applyFont="1" applyBorder="1"/>
    <xf numFmtId="43" fontId="8" fillId="3" borderId="4" xfId="1" applyFont="1" applyFill="1" applyBorder="1"/>
    <xf numFmtId="43" fontId="7" fillId="0" borderId="1" xfId="1" applyFont="1" applyBorder="1" applyAlignment="1"/>
    <xf numFmtId="43" fontId="7" fillId="3" borderId="2" xfId="1" applyFont="1" applyFill="1" applyBorder="1"/>
    <xf numFmtId="43" fontId="7" fillId="0" borderId="1" xfId="1" quotePrefix="1" applyFont="1" applyBorder="1" applyAlignment="1"/>
    <xf numFmtId="43" fontId="8" fillId="0" borderId="1" xfId="1" quotePrefix="1" applyFont="1" applyBorder="1" applyAlignment="1"/>
    <xf numFmtId="43" fontId="8" fillId="3" borderId="2" xfId="1" applyFont="1" applyFill="1" applyBorder="1"/>
    <xf numFmtId="43" fontId="8" fillId="0" borderId="1" xfId="1" applyFont="1" applyBorder="1" applyAlignment="1"/>
    <xf numFmtId="43" fontId="8" fillId="0" borderId="24" xfId="1" applyFont="1" applyBorder="1" applyAlignment="1"/>
    <xf numFmtId="43" fontId="8" fillId="0" borderId="25" xfId="1" applyFont="1" applyBorder="1"/>
    <xf numFmtId="43" fontId="8" fillId="3" borderId="25" xfId="1" applyFont="1" applyFill="1" applyBorder="1"/>
    <xf numFmtId="43" fontId="8" fillId="3" borderId="27" xfId="1" applyFont="1" applyFill="1" applyBorder="1"/>
    <xf numFmtId="170" fontId="7" fillId="0" borderId="4" xfId="0" applyNumberFormat="1" applyFont="1" applyBorder="1"/>
    <xf numFmtId="9" fontId="7" fillId="3" borderId="31" xfId="2" applyFont="1" applyFill="1" applyBorder="1"/>
    <xf numFmtId="9" fontId="3" fillId="5" borderId="25" xfId="2" applyFont="1" applyFill="1" applyBorder="1" applyAlignment="1">
      <alignment horizontal="right"/>
    </xf>
    <xf numFmtId="9" fontId="3" fillId="5" borderId="26" xfId="2" applyFont="1" applyFill="1" applyBorder="1" applyAlignment="1">
      <alignment horizontal="right"/>
    </xf>
    <xf numFmtId="9" fontId="7" fillId="3" borderId="25" xfId="2" applyFont="1" applyFill="1" applyBorder="1"/>
    <xf numFmtId="9" fontId="7" fillId="3" borderId="27" xfId="2" applyFont="1" applyFill="1" applyBorder="1"/>
    <xf numFmtId="10" fontId="0" fillId="0" borderId="0" xfId="2" applyNumberFormat="1" applyFont="1" applyAlignment="1">
      <alignment horizontal="right"/>
    </xf>
    <xf numFmtId="10" fontId="0" fillId="0" borderId="14" xfId="2" applyNumberFormat="1" applyFont="1" applyBorder="1" applyAlignment="1">
      <alignment horizontal="right"/>
    </xf>
    <xf numFmtId="0" fontId="21" fillId="12" borderId="15" xfId="0" applyFont="1" applyFill="1" applyBorder="1" applyAlignment="1">
      <alignment horizontal="left"/>
    </xf>
    <xf numFmtId="0" fontId="35" fillId="12" borderId="8" xfId="0" applyFont="1" applyFill="1" applyBorder="1" applyAlignment="1">
      <alignment horizontal="left"/>
    </xf>
    <xf numFmtId="0" fontId="21" fillId="12" borderId="8" xfId="0" applyFont="1" applyFill="1" applyBorder="1" applyAlignment="1">
      <alignment horizontal="left"/>
    </xf>
    <xf numFmtId="0" fontId="35" fillId="12" borderId="18" xfId="0" applyFont="1" applyFill="1" applyBorder="1" applyAlignment="1">
      <alignment horizontal="left"/>
    </xf>
    <xf numFmtId="0" fontId="35" fillId="13" borderId="15" xfId="0" applyFont="1" applyFill="1" applyBorder="1" applyAlignment="1">
      <alignment horizontal="left"/>
    </xf>
    <xf numFmtId="167" fontId="0" fillId="0" borderId="0" xfId="0" applyNumberFormat="1" applyAlignment="1">
      <alignment horizontal="left"/>
    </xf>
    <xf numFmtId="0" fontId="35" fillId="13" borderId="0" xfId="0" applyFont="1" applyFill="1" applyAlignment="1">
      <alignment horizontal="left"/>
    </xf>
    <xf numFmtId="167" fontId="0" fillId="0" borderId="14" xfId="0" applyNumberFormat="1" applyBorder="1" applyAlignment="1">
      <alignment horizontal="left"/>
    </xf>
    <xf numFmtId="0" fontId="35" fillId="13" borderId="9" xfId="0" applyFont="1" applyFill="1" applyBorder="1" applyAlignment="1">
      <alignment horizontal="left"/>
    </xf>
    <xf numFmtId="164" fontId="0" fillId="0" borderId="0" xfId="0" applyNumberFormat="1" applyAlignment="1">
      <alignment horizontal="left"/>
    </xf>
    <xf numFmtId="164" fontId="35" fillId="13" borderId="0" xfId="0" applyNumberFormat="1" applyFont="1" applyFill="1" applyAlignment="1">
      <alignment horizontal="left"/>
    </xf>
    <xf numFmtId="10" fontId="0" fillId="0" borderId="0" xfId="2" applyNumberFormat="1" applyFont="1" applyFill="1" applyBorder="1" applyAlignment="1">
      <alignment horizontal="left"/>
    </xf>
    <xf numFmtId="10" fontId="0" fillId="0" borderId="14" xfId="2" applyNumberFormat="1" applyFont="1" applyFill="1" applyBorder="1" applyAlignment="1">
      <alignment horizontal="left"/>
    </xf>
    <xf numFmtId="0" fontId="35" fillId="13" borderId="16" xfId="0" applyFont="1" applyFill="1" applyBorder="1" applyAlignment="1">
      <alignment horizontal="left"/>
    </xf>
    <xf numFmtId="10" fontId="0" fillId="0" borderId="13" xfId="0" applyNumberFormat="1" applyBorder="1" applyAlignment="1">
      <alignment horizontal="left"/>
    </xf>
    <xf numFmtId="167" fontId="35" fillId="13" borderId="13" xfId="0" applyNumberFormat="1" applyFont="1" applyFill="1" applyBorder="1" applyAlignment="1">
      <alignment horizontal="left"/>
    </xf>
    <xf numFmtId="10" fontId="0" fillId="0" borderId="13" xfId="2" applyNumberFormat="1" applyFont="1" applyFill="1" applyBorder="1" applyAlignment="1">
      <alignment horizontal="left"/>
    </xf>
    <xf numFmtId="0" fontId="35" fillId="13" borderId="13" xfId="0" applyFont="1" applyFill="1" applyBorder="1" applyAlignment="1">
      <alignment horizontal="left"/>
    </xf>
    <xf numFmtId="10" fontId="0" fillId="0" borderId="17" xfId="2" applyNumberFormat="1" applyFont="1" applyFill="1" applyBorder="1" applyAlignment="1">
      <alignment horizontal="left"/>
    </xf>
    <xf numFmtId="167" fontId="0" fillId="0" borderId="0" xfId="2" applyNumberFormat="1" applyFont="1"/>
    <xf numFmtId="44" fontId="0" fillId="0" borderId="0" xfId="24" applyFont="1"/>
    <xf numFmtId="0" fontId="0" fillId="10" borderId="0" xfId="0" applyFill="1"/>
    <xf numFmtId="9" fontId="0" fillId="10" borderId="0" xfId="0" applyNumberFormat="1" applyFill="1"/>
    <xf numFmtId="10" fontId="0" fillId="10" borderId="0" xfId="0" applyNumberFormat="1" applyFill="1"/>
    <xf numFmtId="44" fontId="0" fillId="10" borderId="0" xfId="24" applyFont="1" applyFill="1"/>
    <xf numFmtId="0" fontId="0" fillId="8" borderId="0" xfId="0" applyFill="1"/>
    <xf numFmtId="9" fontId="0" fillId="0" borderId="0" xfId="2" applyFont="1" applyAlignment="1">
      <alignment horizontal="right"/>
    </xf>
    <xf numFmtId="9" fontId="0" fillId="0" borderId="14" xfId="2" applyFont="1" applyBorder="1" applyAlignment="1">
      <alignment horizontal="right"/>
    </xf>
    <xf numFmtId="172" fontId="0" fillId="0" borderId="0" xfId="24" applyNumberFormat="1" applyFont="1" applyAlignment="1">
      <alignment horizontal="right"/>
    </xf>
    <xf numFmtId="172" fontId="0" fillId="0" borderId="14" xfId="24" applyNumberFormat="1" applyFont="1" applyBorder="1" applyAlignment="1">
      <alignment horizontal="right"/>
    </xf>
    <xf numFmtId="0" fontId="36" fillId="0" borderId="9" xfId="0" applyFont="1" applyBorder="1" applyAlignment="1">
      <alignment horizontal="left"/>
    </xf>
    <xf numFmtId="0" fontId="36" fillId="24" borderId="9" xfId="0" applyFont="1" applyFill="1" applyBorder="1" applyAlignment="1">
      <alignment horizontal="left"/>
    </xf>
    <xf numFmtId="9" fontId="0" fillId="24" borderId="0" xfId="2" applyFont="1" applyFill="1" applyAlignment="1">
      <alignment horizontal="right"/>
    </xf>
    <xf numFmtId="9" fontId="0" fillId="24" borderId="14" xfId="2" applyFont="1" applyFill="1" applyBorder="1" applyAlignment="1">
      <alignment horizontal="right"/>
    </xf>
    <xf numFmtId="172" fontId="0" fillId="24" borderId="0" xfId="24" applyNumberFormat="1" applyFont="1" applyFill="1" applyAlignment="1">
      <alignment horizontal="right"/>
    </xf>
    <xf numFmtId="172" fontId="0" fillId="24" borderId="14" xfId="24" applyNumberFormat="1" applyFont="1" applyFill="1" applyBorder="1" applyAlignment="1">
      <alignment horizontal="right"/>
    </xf>
    <xf numFmtId="9" fontId="0" fillId="24" borderId="0" xfId="2" applyFont="1" applyFill="1" applyBorder="1" applyAlignment="1">
      <alignment horizontal="right"/>
    </xf>
    <xf numFmtId="10" fontId="0" fillId="10" borderId="13" xfId="0" applyNumberFormat="1" applyFill="1" applyBorder="1"/>
    <xf numFmtId="0" fontId="0" fillId="10" borderId="16" xfId="0" applyFill="1" applyBorder="1"/>
    <xf numFmtId="10" fontId="0" fillId="10" borderId="17" xfId="0" applyNumberFormat="1" applyFill="1" applyBorder="1"/>
    <xf numFmtId="9" fontId="0" fillId="0" borderId="0" xfId="2" applyFont="1" applyBorder="1" applyAlignment="1">
      <alignment horizontal="right"/>
    </xf>
    <xf numFmtId="172" fontId="0" fillId="0" borderId="0" xfId="24" applyNumberFormat="1" applyFont="1" applyBorder="1" applyAlignment="1">
      <alignment horizontal="right"/>
    </xf>
    <xf numFmtId="172" fontId="0" fillId="24" borderId="0" xfId="24" applyNumberFormat="1" applyFont="1" applyFill="1" applyBorder="1" applyAlignment="1">
      <alignment horizontal="right"/>
    </xf>
    <xf numFmtId="10" fontId="0" fillId="0" borderId="0" xfId="2" applyNumberFormat="1" applyFont="1" applyBorder="1" applyAlignment="1">
      <alignment horizontal="right"/>
    </xf>
    <xf numFmtId="10" fontId="0" fillId="24" borderId="0" xfId="2" applyNumberFormat="1" applyFont="1" applyFill="1" applyBorder="1" applyAlignment="1">
      <alignment horizontal="right"/>
    </xf>
    <xf numFmtId="10" fontId="0" fillId="24" borderId="14" xfId="2" applyNumberFormat="1" applyFont="1" applyFill="1" applyBorder="1" applyAlignment="1">
      <alignment horizontal="right"/>
    </xf>
    <xf numFmtId="0" fontId="0" fillId="24" borderId="0" xfId="2" applyNumberFormat="1" applyFont="1" applyFill="1" applyBorder="1" applyAlignment="1">
      <alignment horizontal="right"/>
    </xf>
    <xf numFmtId="0" fontId="0" fillId="24" borderId="0" xfId="2" applyNumberFormat="1" applyFont="1" applyFill="1" applyAlignment="1">
      <alignment horizontal="right"/>
    </xf>
    <xf numFmtId="0" fontId="0" fillId="24" borderId="14" xfId="2" applyNumberFormat="1" applyFont="1" applyFill="1" applyBorder="1" applyAlignment="1">
      <alignment horizontal="right"/>
    </xf>
    <xf numFmtId="0" fontId="35" fillId="20" borderId="0" xfId="0" applyFont="1" applyFill="1" applyAlignment="1">
      <alignment horizontal="center"/>
    </xf>
    <xf numFmtId="0" fontId="35" fillId="21" borderId="0" xfId="0" applyFont="1" applyFill="1" applyAlignment="1">
      <alignment horizontal="center"/>
    </xf>
    <xf numFmtId="0" fontId="35" fillId="22" borderId="0" xfId="0" applyFont="1" applyFill="1" applyAlignment="1">
      <alignment horizontal="center"/>
    </xf>
    <xf numFmtId="0" fontId="35" fillId="23" borderId="0" xfId="0" applyFont="1" applyFill="1" applyAlignment="1">
      <alignment horizontal="center"/>
    </xf>
    <xf numFmtId="43" fontId="7" fillId="0" borderId="14" xfId="1" applyFont="1" applyBorder="1" applyAlignment="1">
      <alignment horizontal="center" vertical="center"/>
    </xf>
    <xf numFmtId="170" fontId="7" fillId="0" borderId="14" xfId="1" applyNumberFormat="1" applyFont="1" applyBorder="1" applyAlignment="1">
      <alignment horizontal="center"/>
    </xf>
    <xf numFmtId="170" fontId="7" fillId="0" borderId="4" xfId="1" applyNumberFormat="1" applyFont="1" applyBorder="1" applyAlignment="1">
      <alignment horizontal="center" vertical="center"/>
    </xf>
    <xf numFmtId="0" fontId="21" fillId="12" borderId="9" xfId="0" applyFont="1" applyFill="1" applyBorder="1" applyAlignment="1">
      <alignment horizontal="center"/>
    </xf>
    <xf numFmtId="0" fontId="21" fillId="12" borderId="0" xfId="0" applyFont="1" applyFill="1" applyAlignment="1">
      <alignment horizontal="center"/>
    </xf>
    <xf numFmtId="0" fontId="21" fillId="12" borderId="14" xfId="0" applyFont="1" applyFill="1" applyBorder="1" applyAlignment="1">
      <alignment horizontal="center"/>
    </xf>
    <xf numFmtId="0" fontId="21" fillId="12" borderId="12" xfId="0" applyFont="1" applyFill="1" applyBorder="1" applyAlignment="1">
      <alignment horizontal="center" vertical="center"/>
    </xf>
    <xf numFmtId="0" fontId="21" fillId="12" borderId="8" xfId="0" applyFont="1" applyFill="1" applyBorder="1" applyAlignment="1">
      <alignment horizontal="center" vertical="center"/>
    </xf>
    <xf numFmtId="0" fontId="29" fillId="12" borderId="0" xfId="0" applyFont="1" applyFill="1" applyAlignment="1">
      <alignment horizontal="center"/>
    </xf>
    <xf numFmtId="0" fontId="21" fillId="12" borderId="16" xfId="0" applyFont="1" applyFill="1" applyBorder="1" applyAlignment="1">
      <alignment horizontal="center"/>
    </xf>
    <xf numFmtId="0" fontId="21" fillId="12" borderId="13" xfId="0" applyFont="1" applyFill="1" applyBorder="1" applyAlignment="1">
      <alignment horizontal="center"/>
    </xf>
    <xf numFmtId="0" fontId="21" fillId="12" borderId="17" xfId="0" applyFont="1" applyFill="1" applyBorder="1" applyAlignment="1">
      <alignment horizontal="center"/>
    </xf>
    <xf numFmtId="0" fontId="29" fillId="12" borderId="15" xfId="0" applyFont="1" applyFill="1" applyBorder="1" applyAlignment="1">
      <alignment horizontal="center"/>
    </xf>
    <xf numFmtId="0" fontId="29" fillId="12" borderId="8" xfId="0" applyFont="1" applyFill="1" applyBorder="1" applyAlignment="1">
      <alignment horizontal="center"/>
    </xf>
    <xf numFmtId="0" fontId="29" fillId="12" borderId="18" xfId="0" applyFont="1" applyFill="1" applyBorder="1" applyAlignment="1">
      <alignment horizontal="center"/>
    </xf>
  </cellXfs>
  <cellStyles count="25">
    <cellStyle name="blp_column_header" xfId="4" xr:uid="{F40AE2BB-6827-384D-80E6-068B0453D899}"/>
    <cellStyle name="blp_title_header_row_left" xfId="5" xr:uid="{03F832E0-D4D2-9041-8835-ABE0FADD961E}"/>
    <cellStyle name="Comma" xfId="1" builtinId="3"/>
    <cellStyle name="Currency" xfId="24" builtinId="4"/>
    <cellStyle name="fa_column_header_bottom" xfId="10" xr:uid="{CDCD791D-18F7-A042-9907-37323797E25B}"/>
    <cellStyle name="fa_column_header_bottom_left" xfId="9" xr:uid="{C9428BBB-67A3-7845-B616-D29569E8B5B5}"/>
    <cellStyle name="fa_column_header_empty" xfId="6" xr:uid="{87068812-F695-4445-B984-4209B97044A1}"/>
    <cellStyle name="fa_column_header_top" xfId="8" xr:uid="{287ECEF7-E2FE-6648-A5F8-89B24EDBA74E}"/>
    <cellStyle name="fa_column_header_top_left" xfId="7" xr:uid="{F0DB2507-F0F7-4040-90E1-46ED3B2307F1}"/>
    <cellStyle name="fa_data_bold_0_grouped" xfId="12" xr:uid="{336714B1-1EA9-3F46-BE7B-1CE09CC3B458}"/>
    <cellStyle name="fa_data_bold_2_grouped" xfId="16" xr:uid="{E3734346-C9E0-FA4F-B205-7E3112D0F68B}"/>
    <cellStyle name="fa_data_current_bold_0_grouped" xfId="19" xr:uid="{CA5A667A-AE18-3449-A89C-074E67D68CD1}"/>
    <cellStyle name="fa_data_current_bold_2_grouped" xfId="22" xr:uid="{B9CC3A51-76B2-1846-888E-3655A968B04A}"/>
    <cellStyle name="fa_data_current_italic_2_grouped" xfId="21" xr:uid="{8095F1A7-69B0-7043-82C2-3E4AB4DB8712}"/>
    <cellStyle name="fa_data_current_standard_0_grouped" xfId="23" xr:uid="{00CE62A4-0074-DD40-841B-6F18CBE248FE}"/>
    <cellStyle name="fa_data_current_standard_2_grouped" xfId="20" xr:uid="{865D47E1-4C3E-2345-97BB-6540D2A6C6CC}"/>
    <cellStyle name="fa_data_italic_2_grouped" xfId="15" xr:uid="{5C06C132-5939-3449-87A0-A550A7AF211D}"/>
    <cellStyle name="fa_data_standard_0_grouped" xfId="17" xr:uid="{FC1396C0-3F41-7440-99EA-7F0EB6C506BF}"/>
    <cellStyle name="fa_data_standard_2_grouped" xfId="3" xr:uid="{B3EA00BA-0953-DB4D-B294-104B94AD7E90}"/>
    <cellStyle name="fa_footer_italic" xfId="18" xr:uid="{2F3FB6AA-5384-BC47-8BF9-61E006627804}"/>
    <cellStyle name="fa_row_header_bold" xfId="11" xr:uid="{26C57E02-85D0-3D4B-BC38-827B64C96820}"/>
    <cellStyle name="fa_row_header_italic" xfId="14" xr:uid="{4997E335-D906-E74D-BFDB-78DFFEB6C1F0}"/>
    <cellStyle name="fa_row_header_standard" xfId="13" xr:uid="{1E0BDEB3-B869-7943-A99D-92DD8DE5E7EA}"/>
    <cellStyle name="Normal" xfId="0" builtinId="0"/>
    <cellStyle name="Per cent" xfId="2" builtinId="5"/>
  </cellStyles>
  <dxfs count="0"/>
  <tableStyles count="0" defaultTableStyle="TableStyleMedium2" defaultPivotStyle="PivotStyleLight16"/>
  <colors>
    <mruColors>
      <color rgb="FF00C877"/>
      <color rgb="FF00704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ichStyles" Target="richData/richStyles.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dRichValueStructure" Target="richData/rdrichvaluestructure.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microsoft.com/office/2017/06/relationships/rdSupportingPropertyBag" Target="richData/rdsupportingpropertybag.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SupportingPropertyBagStructure" Target="richData/rdsupportingpropertybagstructure.xml"/><Relationship Id="rId30"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Projected</a:t>
            </a:r>
            <a:r>
              <a:rPr lang="en-GB" baseline="0"/>
              <a:t> FCFF</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'Scenario Analysis'!$A$3</c:f>
              <c:strCache>
                <c:ptCount val="1"/>
                <c:pt idx="0">
                  <c:v>Bull</c:v>
                </c:pt>
              </c:strCache>
            </c:strRef>
          </c:tx>
          <c:spPr>
            <a:ln w="28575" cap="rnd">
              <a:solidFill>
                <a:srgbClr val="007042"/>
              </a:solidFill>
              <a:round/>
            </a:ln>
            <a:effectLst/>
          </c:spPr>
          <c:marker>
            <c:symbol val="circle"/>
            <c:size val="5"/>
            <c:spPr>
              <a:solidFill>
                <a:srgbClr val="007042"/>
              </a:solidFill>
              <a:ln w="9525">
                <a:solidFill>
                  <a:schemeClr val="accent1"/>
                </a:solidFill>
              </a:ln>
              <a:effectLst/>
            </c:spPr>
          </c:marker>
          <c:cat>
            <c:numRef>
              <c:f>'Scenario Analysis'!$B$2:$F$2</c:f>
              <c:numCache>
                <c:formatCode>General</c:formatCode>
                <c:ptCount val="5"/>
                <c:pt idx="0">
                  <c:v>2024</c:v>
                </c:pt>
                <c:pt idx="1">
                  <c:v>2025</c:v>
                </c:pt>
                <c:pt idx="2">
                  <c:v>2026</c:v>
                </c:pt>
                <c:pt idx="3">
                  <c:v>2027</c:v>
                </c:pt>
                <c:pt idx="4">
                  <c:v>2028</c:v>
                </c:pt>
              </c:numCache>
            </c:numRef>
          </c:cat>
          <c:val>
            <c:numRef>
              <c:f>'Scenario Analysis'!$B$3:$F$3</c:f>
              <c:numCache>
                <c:formatCode>General</c:formatCode>
                <c:ptCount val="5"/>
                <c:pt idx="0">
                  <c:v>4880352.7799999975</c:v>
                </c:pt>
                <c:pt idx="1">
                  <c:v>6298007.2102399981</c:v>
                </c:pt>
                <c:pt idx="2">
                  <c:v>7514755.7512480048</c:v>
                </c:pt>
                <c:pt idx="3">
                  <c:v>8010050.6328642545</c:v>
                </c:pt>
                <c:pt idx="4">
                  <c:v>8919824.6784117147</c:v>
                </c:pt>
              </c:numCache>
            </c:numRef>
          </c:val>
          <c:smooth val="0"/>
          <c:extLst>
            <c:ext xmlns:c16="http://schemas.microsoft.com/office/drawing/2014/chart" uri="{C3380CC4-5D6E-409C-BE32-E72D297353CC}">
              <c16:uniqueId val="{00000000-6FC4-064A-A5CA-5A92AB518840}"/>
            </c:ext>
          </c:extLst>
        </c:ser>
        <c:ser>
          <c:idx val="1"/>
          <c:order val="1"/>
          <c:tx>
            <c:strRef>
              <c:f>'Scenario Analysis'!$A$4</c:f>
              <c:strCache>
                <c:ptCount val="1"/>
                <c:pt idx="0">
                  <c:v>Base</c:v>
                </c:pt>
              </c:strCache>
            </c:strRef>
          </c:tx>
          <c:spPr>
            <a:ln w="28575" cap="rnd">
              <a:solidFill>
                <a:srgbClr val="00E387"/>
              </a:solidFill>
              <a:round/>
            </a:ln>
            <a:effectLst/>
          </c:spPr>
          <c:marker>
            <c:symbol val="circle"/>
            <c:size val="5"/>
            <c:spPr>
              <a:solidFill>
                <a:srgbClr val="00E387"/>
              </a:solidFill>
              <a:ln w="9525">
                <a:solidFill>
                  <a:srgbClr val="00B0F0"/>
                </a:solidFill>
              </a:ln>
              <a:effectLst/>
            </c:spPr>
          </c:marker>
          <c:cat>
            <c:numRef>
              <c:f>'Scenario Analysis'!$B$2:$F$2</c:f>
              <c:numCache>
                <c:formatCode>General</c:formatCode>
                <c:ptCount val="5"/>
                <c:pt idx="0">
                  <c:v>2024</c:v>
                </c:pt>
                <c:pt idx="1">
                  <c:v>2025</c:v>
                </c:pt>
                <c:pt idx="2">
                  <c:v>2026</c:v>
                </c:pt>
                <c:pt idx="3">
                  <c:v>2027</c:v>
                </c:pt>
                <c:pt idx="4">
                  <c:v>2028</c:v>
                </c:pt>
              </c:numCache>
            </c:numRef>
          </c:cat>
          <c:val>
            <c:numRef>
              <c:f>'Scenario Analysis'!$B$4:$F$4</c:f>
              <c:numCache>
                <c:formatCode>General</c:formatCode>
                <c:ptCount val="5"/>
                <c:pt idx="0" formatCode="#,##0.00">
                  <c:v>4732852.8199999975</c:v>
                </c:pt>
                <c:pt idx="1">
                  <c:v>6028643.5027999971</c:v>
                </c:pt>
                <c:pt idx="2">
                  <c:v>7066549.0618200013</c:v>
                </c:pt>
                <c:pt idx="3">
                  <c:v>7391598.1419582767</c:v>
                </c:pt>
                <c:pt idx="4">
                  <c:v>8077796.7789224675</c:v>
                </c:pt>
              </c:numCache>
            </c:numRef>
          </c:val>
          <c:smooth val="0"/>
          <c:extLst>
            <c:ext xmlns:c16="http://schemas.microsoft.com/office/drawing/2014/chart" uri="{C3380CC4-5D6E-409C-BE32-E72D297353CC}">
              <c16:uniqueId val="{00000001-6FC4-064A-A5CA-5A92AB518840}"/>
            </c:ext>
          </c:extLst>
        </c:ser>
        <c:ser>
          <c:idx val="2"/>
          <c:order val="2"/>
          <c:tx>
            <c:strRef>
              <c:f>'Scenario Analysis'!$A$5</c:f>
              <c:strCache>
                <c:ptCount val="1"/>
                <c:pt idx="0">
                  <c:v>Bear</c:v>
                </c:pt>
              </c:strCache>
            </c:strRef>
          </c:tx>
          <c:spPr>
            <a:ln w="28575" cap="rnd">
              <a:solidFill>
                <a:srgbClr val="92D050"/>
              </a:solidFill>
              <a:round/>
            </a:ln>
            <a:effectLst/>
          </c:spPr>
          <c:marker>
            <c:symbol val="circle"/>
            <c:size val="5"/>
            <c:spPr>
              <a:solidFill>
                <a:srgbClr val="92D050"/>
              </a:solidFill>
              <a:ln w="9525">
                <a:solidFill>
                  <a:schemeClr val="accent3"/>
                </a:solidFill>
              </a:ln>
              <a:effectLst/>
            </c:spPr>
          </c:marker>
          <c:cat>
            <c:numRef>
              <c:f>'Scenario Analysis'!$B$2:$F$2</c:f>
              <c:numCache>
                <c:formatCode>General</c:formatCode>
                <c:ptCount val="5"/>
                <c:pt idx="0">
                  <c:v>2024</c:v>
                </c:pt>
                <c:pt idx="1">
                  <c:v>2025</c:v>
                </c:pt>
                <c:pt idx="2">
                  <c:v>2026</c:v>
                </c:pt>
                <c:pt idx="3">
                  <c:v>2027</c:v>
                </c:pt>
                <c:pt idx="4">
                  <c:v>2028</c:v>
                </c:pt>
              </c:numCache>
            </c:numRef>
          </c:cat>
          <c:val>
            <c:numRef>
              <c:f>'Scenario Analysis'!$B$5:$F$5</c:f>
              <c:numCache>
                <c:formatCode>General</c:formatCode>
                <c:ptCount val="5"/>
                <c:pt idx="0">
                  <c:v>4585352.8599999966</c:v>
                </c:pt>
                <c:pt idx="1">
                  <c:v>5689116.5826799981</c:v>
                </c:pt>
                <c:pt idx="2">
                  <c:v>6362432.5500230016</c:v>
                </c:pt>
                <c:pt idx="3">
                  <c:v>6369864.5912688216</c:v>
                </c:pt>
                <c:pt idx="4">
                  <c:v>6708619.8590232329</c:v>
                </c:pt>
              </c:numCache>
            </c:numRef>
          </c:val>
          <c:smooth val="0"/>
          <c:extLst>
            <c:ext xmlns:c16="http://schemas.microsoft.com/office/drawing/2014/chart" uri="{C3380CC4-5D6E-409C-BE32-E72D297353CC}">
              <c16:uniqueId val="{00000002-6FC4-064A-A5CA-5A92AB518840}"/>
            </c:ext>
          </c:extLst>
        </c:ser>
        <c:dLbls>
          <c:showLegendKey val="0"/>
          <c:showVal val="0"/>
          <c:showCatName val="0"/>
          <c:showSerName val="0"/>
          <c:showPercent val="0"/>
          <c:showBubbleSize val="0"/>
        </c:dLbls>
        <c:marker val="1"/>
        <c:smooth val="0"/>
        <c:axId val="1953549584"/>
        <c:axId val="1931469952"/>
      </c:lineChart>
      <c:catAx>
        <c:axId val="195354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469952"/>
        <c:crosses val="autoZero"/>
        <c:auto val="1"/>
        <c:lblAlgn val="ctr"/>
        <c:lblOffset val="100"/>
        <c:noMultiLvlLbl val="0"/>
      </c:catAx>
      <c:valAx>
        <c:axId val="1931469952"/>
        <c:scaling>
          <c:orientation val="minMax"/>
          <c:max val="10000000"/>
          <c:min val="1000000"/>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49584"/>
        <c:crosses val="autoZero"/>
        <c:crossBetween val="between"/>
        <c:majorUnit val="300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'Sheet1 (2)'!$A$57</c:f>
              <c:strCache>
                <c:ptCount val="1"/>
                <c:pt idx="0">
                  <c:v> Other </c:v>
                </c:pt>
              </c:strCache>
            </c:strRef>
          </c:tx>
          <c:spPr>
            <a:solidFill>
              <a:schemeClr val="accent1"/>
            </a:solidFill>
            <a:ln>
              <a:noFill/>
            </a:ln>
            <a:effectLst/>
          </c:spPr>
          <c:invertIfNegative val="0"/>
          <c:cat>
            <c:strRef>
              <c:f>'Sheet1 (2)'!$B$56:$K$56</c:f>
              <c:strCache>
                <c:ptCount val="10"/>
                <c:pt idx="0">
                  <c:v>2019</c:v>
                </c:pt>
                <c:pt idx="1">
                  <c:v>2020</c:v>
                </c:pt>
                <c:pt idx="2">
                  <c:v>2021</c:v>
                </c:pt>
                <c:pt idx="3">
                  <c:v>2022</c:v>
                </c:pt>
                <c:pt idx="4">
                  <c:v>2023</c:v>
                </c:pt>
                <c:pt idx="5">
                  <c:v>2024E</c:v>
                </c:pt>
                <c:pt idx="6">
                  <c:v>2025E</c:v>
                </c:pt>
                <c:pt idx="7">
                  <c:v>2026E</c:v>
                </c:pt>
                <c:pt idx="8">
                  <c:v>2027E</c:v>
                </c:pt>
                <c:pt idx="9">
                  <c:v>2028E</c:v>
                </c:pt>
              </c:strCache>
            </c:strRef>
          </c:cat>
          <c:val>
            <c:numRef>
              <c:f>'Sheet1 (2)'!$B$57:$K$57</c:f>
              <c:numCache>
                <c:formatCode>_(* #,##0.00_);_(* \(#,##0.00\);_(* "-"??_);_(@_)</c:formatCode>
                <c:ptCount val="10"/>
                <c:pt idx="0">
                  <c:v>2089200</c:v>
                </c:pt>
                <c:pt idx="1">
                  <c:v>2026300</c:v>
                </c:pt>
                <c:pt idx="2">
                  <c:v>1770000</c:v>
                </c:pt>
                <c:pt idx="3">
                  <c:v>2018700</c:v>
                </c:pt>
                <c:pt idx="4">
                  <c:v>2000600</c:v>
                </c:pt>
                <c:pt idx="5">
                  <c:v>2049726.3596440097</c:v>
                </c:pt>
                <c:pt idx="6">
                  <c:v>2111827.4228693061</c:v>
                </c:pt>
                <c:pt idx="7">
                  <c:v>2162488.6435881993</c:v>
                </c:pt>
                <c:pt idx="8">
                  <c:v>2191960.0216308758</c:v>
                </c:pt>
                <c:pt idx="9">
                  <c:v>2195369.4492666805</c:v>
                </c:pt>
              </c:numCache>
            </c:numRef>
          </c:val>
          <c:extLst>
            <c:ext xmlns:c16="http://schemas.microsoft.com/office/drawing/2014/chart" uri="{C3380CC4-5D6E-409C-BE32-E72D297353CC}">
              <c16:uniqueId val="{00000000-24F2-7549-82D0-97A48D3C6A05}"/>
            </c:ext>
          </c:extLst>
        </c:ser>
        <c:ser>
          <c:idx val="1"/>
          <c:order val="1"/>
          <c:tx>
            <c:strRef>
              <c:f>'Sheet1 (2)'!$A$58</c:f>
              <c:strCache>
                <c:ptCount val="1"/>
                <c:pt idx="0">
                  <c:v> Licensed stores </c:v>
                </c:pt>
              </c:strCache>
            </c:strRef>
          </c:tx>
          <c:spPr>
            <a:solidFill>
              <a:srgbClr val="00C877"/>
            </a:solidFill>
            <a:ln>
              <a:noFill/>
            </a:ln>
            <a:effectLst/>
          </c:spPr>
          <c:invertIfNegative val="0"/>
          <c:cat>
            <c:strRef>
              <c:f>'Sheet1 (2)'!$B$56:$K$56</c:f>
              <c:strCache>
                <c:ptCount val="10"/>
                <c:pt idx="0">
                  <c:v>2019</c:v>
                </c:pt>
                <c:pt idx="1">
                  <c:v>2020</c:v>
                </c:pt>
                <c:pt idx="2">
                  <c:v>2021</c:v>
                </c:pt>
                <c:pt idx="3">
                  <c:v>2022</c:v>
                </c:pt>
                <c:pt idx="4">
                  <c:v>2023</c:v>
                </c:pt>
                <c:pt idx="5">
                  <c:v>2024E</c:v>
                </c:pt>
                <c:pt idx="6">
                  <c:v>2025E</c:v>
                </c:pt>
                <c:pt idx="7">
                  <c:v>2026E</c:v>
                </c:pt>
                <c:pt idx="8">
                  <c:v>2027E</c:v>
                </c:pt>
                <c:pt idx="9">
                  <c:v>2028E</c:v>
                </c:pt>
              </c:strCache>
            </c:strRef>
          </c:cat>
          <c:val>
            <c:numRef>
              <c:f>'Sheet1 (2)'!$B$58:$K$58</c:f>
              <c:numCache>
                <c:formatCode>_(* #,##0.00_);_(* \(#,##0.00\);_(* "-"??_);_(@_)</c:formatCode>
                <c:ptCount val="10"/>
                <c:pt idx="0">
                  <c:v>2875000</c:v>
                </c:pt>
                <c:pt idx="1">
                  <c:v>2327100</c:v>
                </c:pt>
                <c:pt idx="2">
                  <c:v>2683600</c:v>
                </c:pt>
                <c:pt idx="3">
                  <c:v>3655500</c:v>
                </c:pt>
                <c:pt idx="4">
                  <c:v>4512700</c:v>
                </c:pt>
                <c:pt idx="5">
                  <c:v>4871395.6022465574</c:v>
                </c:pt>
                <c:pt idx="6">
                  <c:v>5311171.8348264433</c:v>
                </c:pt>
                <c:pt idx="7">
                  <c:v>5847979.149499164</c:v>
                </c:pt>
                <c:pt idx="8">
                  <c:v>6440255.231214039</c:v>
                </c:pt>
                <c:pt idx="9">
                  <c:v>7025632.1551683387</c:v>
                </c:pt>
              </c:numCache>
            </c:numRef>
          </c:val>
          <c:extLst>
            <c:ext xmlns:c16="http://schemas.microsoft.com/office/drawing/2014/chart" uri="{C3380CC4-5D6E-409C-BE32-E72D297353CC}">
              <c16:uniqueId val="{00000001-24F2-7549-82D0-97A48D3C6A05}"/>
            </c:ext>
          </c:extLst>
        </c:ser>
        <c:ser>
          <c:idx val="2"/>
          <c:order val="2"/>
          <c:tx>
            <c:strRef>
              <c:f>'Sheet1 (2)'!$A$59</c:f>
              <c:strCache>
                <c:ptCount val="1"/>
                <c:pt idx="0">
                  <c:v> Company-operated stores </c:v>
                </c:pt>
              </c:strCache>
            </c:strRef>
          </c:tx>
          <c:spPr>
            <a:solidFill>
              <a:srgbClr val="007042"/>
            </a:solidFill>
            <a:ln>
              <a:noFill/>
            </a:ln>
            <a:effectLst/>
          </c:spPr>
          <c:invertIfNegative val="0"/>
          <c:cat>
            <c:strRef>
              <c:f>'Sheet1 (2)'!$B$56:$K$56</c:f>
              <c:strCache>
                <c:ptCount val="10"/>
                <c:pt idx="0">
                  <c:v>2019</c:v>
                </c:pt>
                <c:pt idx="1">
                  <c:v>2020</c:v>
                </c:pt>
                <c:pt idx="2">
                  <c:v>2021</c:v>
                </c:pt>
                <c:pt idx="3">
                  <c:v>2022</c:v>
                </c:pt>
                <c:pt idx="4">
                  <c:v>2023</c:v>
                </c:pt>
                <c:pt idx="5">
                  <c:v>2024E</c:v>
                </c:pt>
                <c:pt idx="6">
                  <c:v>2025E</c:v>
                </c:pt>
                <c:pt idx="7">
                  <c:v>2026E</c:v>
                </c:pt>
                <c:pt idx="8">
                  <c:v>2027E</c:v>
                </c:pt>
                <c:pt idx="9">
                  <c:v>2028E</c:v>
                </c:pt>
              </c:strCache>
            </c:strRef>
          </c:cat>
          <c:val>
            <c:numRef>
              <c:f>'Sheet1 (2)'!$B$59:$K$59</c:f>
              <c:numCache>
                <c:formatCode>_(* #,##0.00_);_(* \(#,##0.00\);_(* "-"??_);_(@_)</c:formatCode>
                <c:ptCount val="10"/>
                <c:pt idx="0">
                  <c:v>21544400</c:v>
                </c:pt>
                <c:pt idx="1">
                  <c:v>19164600</c:v>
                </c:pt>
                <c:pt idx="2">
                  <c:v>24607000</c:v>
                </c:pt>
                <c:pt idx="3">
                  <c:v>26576100</c:v>
                </c:pt>
                <c:pt idx="4">
                  <c:v>29462300</c:v>
                </c:pt>
                <c:pt idx="5">
                  <c:v>32292282.038109433</c:v>
                </c:pt>
                <c:pt idx="6">
                  <c:v>35711745.142304249</c:v>
                </c:pt>
                <c:pt idx="7">
                  <c:v>39869098.490912631</c:v>
                </c:pt>
                <c:pt idx="8">
                  <c:v>44514103.322395079</c:v>
                </c:pt>
                <c:pt idx="9">
                  <c:v>49239948.828328975</c:v>
                </c:pt>
              </c:numCache>
            </c:numRef>
          </c:val>
          <c:extLst>
            <c:ext xmlns:c16="http://schemas.microsoft.com/office/drawing/2014/chart" uri="{C3380CC4-5D6E-409C-BE32-E72D297353CC}">
              <c16:uniqueId val="{00000002-24F2-7549-82D0-97A48D3C6A05}"/>
            </c:ext>
          </c:extLst>
        </c:ser>
        <c:dLbls>
          <c:showLegendKey val="0"/>
          <c:showVal val="0"/>
          <c:showCatName val="0"/>
          <c:showSerName val="0"/>
          <c:showPercent val="0"/>
          <c:showBubbleSize val="0"/>
        </c:dLbls>
        <c:gapWidth val="150"/>
        <c:overlap val="100"/>
        <c:axId val="1331415071"/>
        <c:axId val="1331674447"/>
      </c:barChart>
      <c:catAx>
        <c:axId val="1331415071"/>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674447"/>
        <c:crosses val="autoZero"/>
        <c:auto val="1"/>
        <c:lblAlgn val="ctr"/>
        <c:lblOffset val="100"/>
        <c:noMultiLvlLbl val="0"/>
      </c:catAx>
      <c:valAx>
        <c:axId val="1331674447"/>
        <c:scaling>
          <c:orientation val="minMax"/>
        </c:scaling>
        <c:delete val="0"/>
        <c:axPos val="l"/>
        <c:majorGridlines>
          <c:spPr>
            <a:ln w="9525" cap="flat" cmpd="sng" algn="ctr">
              <a:noFill/>
              <a:round/>
            </a:ln>
            <a:effectLst/>
          </c:spPr>
        </c:majorGridlines>
        <c:numFmt formatCode="_(* #,##0_);_(* \(#,##0\);_(* &quot;-&quot;_);_(@_)"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415071"/>
        <c:crosses val="autoZero"/>
        <c:crossBetween val="between"/>
      </c:valAx>
      <c:spPr>
        <a:noFill/>
        <a:ln>
          <a:noFill/>
        </a:ln>
        <a:effectLst/>
      </c:spPr>
    </c:plotArea>
    <c:legend>
      <c:legendPos val="b"/>
      <c:overlay val="0"/>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Projected</a:t>
            </a:r>
            <a:r>
              <a:rPr lang="en-GB" baseline="0"/>
              <a:t> FCFF</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'Scenario Analysis'!$A$3</c:f>
              <c:strCache>
                <c:ptCount val="1"/>
                <c:pt idx="0">
                  <c:v>Bull</c:v>
                </c:pt>
              </c:strCache>
            </c:strRef>
          </c:tx>
          <c:spPr>
            <a:ln w="28575" cap="rnd">
              <a:solidFill>
                <a:srgbClr val="007042"/>
              </a:solidFill>
              <a:round/>
            </a:ln>
            <a:effectLst/>
          </c:spPr>
          <c:marker>
            <c:symbol val="circle"/>
            <c:size val="5"/>
            <c:spPr>
              <a:solidFill>
                <a:srgbClr val="007042"/>
              </a:solidFill>
              <a:ln w="9525">
                <a:solidFill>
                  <a:schemeClr val="accent1"/>
                </a:solidFill>
              </a:ln>
              <a:effectLst/>
            </c:spPr>
          </c:marker>
          <c:cat>
            <c:numRef>
              <c:f>'Scenario Analysis'!$B$2:$F$2</c:f>
              <c:numCache>
                <c:formatCode>General</c:formatCode>
                <c:ptCount val="5"/>
                <c:pt idx="0">
                  <c:v>2024</c:v>
                </c:pt>
                <c:pt idx="1">
                  <c:v>2025</c:v>
                </c:pt>
                <c:pt idx="2">
                  <c:v>2026</c:v>
                </c:pt>
                <c:pt idx="3">
                  <c:v>2027</c:v>
                </c:pt>
                <c:pt idx="4">
                  <c:v>2028</c:v>
                </c:pt>
              </c:numCache>
            </c:numRef>
          </c:cat>
          <c:val>
            <c:numRef>
              <c:f>'Scenario Analysis'!$B$3:$F$3</c:f>
              <c:numCache>
                <c:formatCode>General</c:formatCode>
                <c:ptCount val="5"/>
                <c:pt idx="0">
                  <c:v>4880352.7799999975</c:v>
                </c:pt>
                <c:pt idx="1">
                  <c:v>6298007.2102399981</c:v>
                </c:pt>
                <c:pt idx="2">
                  <c:v>7514755.7512480048</c:v>
                </c:pt>
                <c:pt idx="3">
                  <c:v>8010050.6328642545</c:v>
                </c:pt>
                <c:pt idx="4">
                  <c:v>8919824.6784117147</c:v>
                </c:pt>
              </c:numCache>
            </c:numRef>
          </c:val>
          <c:smooth val="0"/>
          <c:extLst>
            <c:ext xmlns:c16="http://schemas.microsoft.com/office/drawing/2014/chart" uri="{C3380CC4-5D6E-409C-BE32-E72D297353CC}">
              <c16:uniqueId val="{00000000-70AC-D846-AF16-5FB86EED8A8F}"/>
            </c:ext>
          </c:extLst>
        </c:ser>
        <c:ser>
          <c:idx val="1"/>
          <c:order val="1"/>
          <c:tx>
            <c:strRef>
              <c:f>'Scenario Analysis'!$A$4</c:f>
              <c:strCache>
                <c:ptCount val="1"/>
                <c:pt idx="0">
                  <c:v>Base</c:v>
                </c:pt>
              </c:strCache>
            </c:strRef>
          </c:tx>
          <c:spPr>
            <a:ln w="28575" cap="rnd">
              <a:solidFill>
                <a:srgbClr val="00E387"/>
              </a:solidFill>
              <a:round/>
            </a:ln>
            <a:effectLst/>
          </c:spPr>
          <c:marker>
            <c:symbol val="circle"/>
            <c:size val="5"/>
            <c:spPr>
              <a:solidFill>
                <a:srgbClr val="00E387"/>
              </a:solidFill>
              <a:ln w="9525">
                <a:solidFill>
                  <a:srgbClr val="00B0F0"/>
                </a:solidFill>
              </a:ln>
              <a:effectLst/>
            </c:spPr>
          </c:marker>
          <c:cat>
            <c:numRef>
              <c:f>'Scenario Analysis'!$B$2:$F$2</c:f>
              <c:numCache>
                <c:formatCode>General</c:formatCode>
                <c:ptCount val="5"/>
                <c:pt idx="0">
                  <c:v>2024</c:v>
                </c:pt>
                <c:pt idx="1">
                  <c:v>2025</c:v>
                </c:pt>
                <c:pt idx="2">
                  <c:v>2026</c:v>
                </c:pt>
                <c:pt idx="3">
                  <c:v>2027</c:v>
                </c:pt>
                <c:pt idx="4">
                  <c:v>2028</c:v>
                </c:pt>
              </c:numCache>
            </c:numRef>
          </c:cat>
          <c:val>
            <c:numRef>
              <c:f>'Scenario Analysis'!$B$4:$F$4</c:f>
              <c:numCache>
                <c:formatCode>General</c:formatCode>
                <c:ptCount val="5"/>
                <c:pt idx="0" formatCode="#,##0.00">
                  <c:v>4732852.8199999975</c:v>
                </c:pt>
                <c:pt idx="1">
                  <c:v>6028643.5027999971</c:v>
                </c:pt>
                <c:pt idx="2">
                  <c:v>7066549.0618200013</c:v>
                </c:pt>
                <c:pt idx="3">
                  <c:v>7391598.1419582767</c:v>
                </c:pt>
                <c:pt idx="4">
                  <c:v>8077796.7789224675</c:v>
                </c:pt>
              </c:numCache>
            </c:numRef>
          </c:val>
          <c:smooth val="0"/>
          <c:extLst>
            <c:ext xmlns:c16="http://schemas.microsoft.com/office/drawing/2014/chart" uri="{C3380CC4-5D6E-409C-BE32-E72D297353CC}">
              <c16:uniqueId val="{00000001-70AC-D846-AF16-5FB86EED8A8F}"/>
            </c:ext>
          </c:extLst>
        </c:ser>
        <c:ser>
          <c:idx val="2"/>
          <c:order val="2"/>
          <c:tx>
            <c:strRef>
              <c:f>'Scenario Analysis'!$A$5</c:f>
              <c:strCache>
                <c:ptCount val="1"/>
                <c:pt idx="0">
                  <c:v>Bear</c:v>
                </c:pt>
              </c:strCache>
            </c:strRef>
          </c:tx>
          <c:spPr>
            <a:ln w="28575" cap="rnd">
              <a:solidFill>
                <a:srgbClr val="92D050"/>
              </a:solidFill>
              <a:round/>
            </a:ln>
            <a:effectLst/>
          </c:spPr>
          <c:marker>
            <c:symbol val="circle"/>
            <c:size val="5"/>
            <c:spPr>
              <a:solidFill>
                <a:srgbClr val="92D050"/>
              </a:solidFill>
              <a:ln w="9525">
                <a:solidFill>
                  <a:schemeClr val="accent3"/>
                </a:solidFill>
              </a:ln>
              <a:effectLst/>
            </c:spPr>
          </c:marker>
          <c:cat>
            <c:numRef>
              <c:f>'Scenario Analysis'!$B$2:$F$2</c:f>
              <c:numCache>
                <c:formatCode>General</c:formatCode>
                <c:ptCount val="5"/>
                <c:pt idx="0">
                  <c:v>2024</c:v>
                </c:pt>
                <c:pt idx="1">
                  <c:v>2025</c:v>
                </c:pt>
                <c:pt idx="2">
                  <c:v>2026</c:v>
                </c:pt>
                <c:pt idx="3">
                  <c:v>2027</c:v>
                </c:pt>
                <c:pt idx="4">
                  <c:v>2028</c:v>
                </c:pt>
              </c:numCache>
            </c:numRef>
          </c:cat>
          <c:val>
            <c:numRef>
              <c:f>'Scenario Analysis'!$B$5:$F$5</c:f>
              <c:numCache>
                <c:formatCode>General</c:formatCode>
                <c:ptCount val="5"/>
                <c:pt idx="0">
                  <c:v>4585352.8599999966</c:v>
                </c:pt>
                <c:pt idx="1">
                  <c:v>5689116.5826799981</c:v>
                </c:pt>
                <c:pt idx="2">
                  <c:v>6362432.5500230016</c:v>
                </c:pt>
                <c:pt idx="3">
                  <c:v>6369864.5912688216</c:v>
                </c:pt>
                <c:pt idx="4">
                  <c:v>6708619.8590232329</c:v>
                </c:pt>
              </c:numCache>
            </c:numRef>
          </c:val>
          <c:smooth val="0"/>
          <c:extLst>
            <c:ext xmlns:c16="http://schemas.microsoft.com/office/drawing/2014/chart" uri="{C3380CC4-5D6E-409C-BE32-E72D297353CC}">
              <c16:uniqueId val="{00000002-70AC-D846-AF16-5FB86EED8A8F}"/>
            </c:ext>
          </c:extLst>
        </c:ser>
        <c:dLbls>
          <c:showLegendKey val="0"/>
          <c:showVal val="0"/>
          <c:showCatName val="0"/>
          <c:showSerName val="0"/>
          <c:showPercent val="0"/>
          <c:showBubbleSize val="0"/>
        </c:dLbls>
        <c:marker val="1"/>
        <c:smooth val="0"/>
        <c:axId val="1953549584"/>
        <c:axId val="1931469952"/>
      </c:lineChart>
      <c:catAx>
        <c:axId val="195354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469952"/>
        <c:crosses val="autoZero"/>
        <c:auto val="1"/>
        <c:lblAlgn val="ctr"/>
        <c:lblOffset val="100"/>
        <c:noMultiLvlLbl val="0"/>
      </c:catAx>
      <c:valAx>
        <c:axId val="1931469952"/>
        <c:scaling>
          <c:orientation val="minMax"/>
          <c:max val="10000000"/>
          <c:min val="1000000"/>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49584"/>
        <c:crosses val="autoZero"/>
        <c:crossBetween val="between"/>
        <c:majorUnit val="300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14</xdr:row>
      <xdr:rowOff>165100</xdr:rowOff>
    </xdr:from>
    <xdr:to>
      <xdr:col>7</xdr:col>
      <xdr:colOff>609600</xdr:colOff>
      <xdr:row>38</xdr:row>
      <xdr:rowOff>79505</xdr:rowOff>
    </xdr:to>
    <xdr:pic>
      <xdr:nvPicPr>
        <xdr:cNvPr id="2" name="Picture 1">
          <a:extLst>
            <a:ext uri="{FF2B5EF4-FFF2-40B4-BE49-F238E27FC236}">
              <a16:creationId xmlns:a16="http://schemas.microsoft.com/office/drawing/2014/main" id="{B52EC0B7-1AF2-FB5B-9951-6206FDD2DEEF}"/>
            </a:ext>
          </a:extLst>
        </xdr:cNvPr>
        <xdr:cNvPicPr>
          <a:picLocks noChangeAspect="1"/>
        </xdr:cNvPicPr>
      </xdr:nvPicPr>
      <xdr:blipFill>
        <a:blip xmlns:r="http://schemas.openxmlformats.org/officeDocument/2006/relationships" r:embed="rId1"/>
        <a:stretch>
          <a:fillRect/>
        </a:stretch>
      </xdr:blipFill>
      <xdr:spPr>
        <a:xfrm>
          <a:off x="0" y="3009900"/>
          <a:ext cx="7772400" cy="47912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248664</xdr:colOff>
      <xdr:row>10</xdr:row>
      <xdr:rowOff>21345</xdr:rowOff>
    </xdr:from>
    <xdr:to>
      <xdr:col>10</xdr:col>
      <xdr:colOff>576301</xdr:colOff>
      <xdr:row>24</xdr:row>
      <xdr:rowOff>96051</xdr:rowOff>
    </xdr:to>
    <xdr:graphicFrame macro="">
      <xdr:nvGraphicFramePr>
        <xdr:cNvPr id="2" name="Chart 3">
          <a:extLst>
            <a:ext uri="{FF2B5EF4-FFF2-40B4-BE49-F238E27FC236}">
              <a16:creationId xmlns:a16="http://schemas.microsoft.com/office/drawing/2014/main" id="{1441711C-1E12-676D-28FA-A678EE194C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6350</xdr:colOff>
      <xdr:row>65</xdr:row>
      <xdr:rowOff>12700</xdr:rowOff>
    </xdr:from>
    <xdr:to>
      <xdr:col>8</xdr:col>
      <xdr:colOff>469900</xdr:colOff>
      <xdr:row>81</xdr:row>
      <xdr:rowOff>139700</xdr:rowOff>
    </xdr:to>
    <xdr:graphicFrame macro="">
      <xdr:nvGraphicFramePr>
        <xdr:cNvPr id="3" name="Chart 2">
          <a:extLst>
            <a:ext uri="{FF2B5EF4-FFF2-40B4-BE49-F238E27FC236}">
              <a16:creationId xmlns:a16="http://schemas.microsoft.com/office/drawing/2014/main" id="{0B2664C7-CAEA-7411-0B0A-FD77A24FC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19</xdr:row>
      <xdr:rowOff>139700</xdr:rowOff>
    </xdr:from>
    <xdr:to>
      <xdr:col>8</xdr:col>
      <xdr:colOff>266700</xdr:colOff>
      <xdr:row>36</xdr:row>
      <xdr:rowOff>6918</xdr:rowOff>
    </xdr:to>
    <xdr:pic>
      <xdr:nvPicPr>
        <xdr:cNvPr id="2" name="Picture 1">
          <a:extLst>
            <a:ext uri="{FF2B5EF4-FFF2-40B4-BE49-F238E27FC236}">
              <a16:creationId xmlns:a16="http://schemas.microsoft.com/office/drawing/2014/main" id="{E317DC2C-BA3C-5708-D99D-DE1CC10DEF5F}"/>
            </a:ext>
          </a:extLst>
        </xdr:cNvPr>
        <xdr:cNvPicPr>
          <a:picLocks noChangeAspect="1"/>
        </xdr:cNvPicPr>
      </xdr:nvPicPr>
      <xdr:blipFill>
        <a:blip xmlns:r="http://schemas.openxmlformats.org/officeDocument/2006/relationships" r:embed="rId1"/>
        <a:stretch>
          <a:fillRect/>
        </a:stretch>
      </xdr:blipFill>
      <xdr:spPr>
        <a:xfrm>
          <a:off x="0" y="4000500"/>
          <a:ext cx="7772400" cy="33216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16</xdr:col>
      <xdr:colOff>0</xdr:colOff>
      <xdr:row>19</xdr:row>
      <xdr:rowOff>0</xdr:rowOff>
    </xdr:from>
    <xdr:to>
      <xdr:col>17</xdr:col>
      <xdr:colOff>98568</xdr:colOff>
      <xdr:row>23</xdr:row>
      <xdr:rowOff>158193</xdr:rowOff>
    </xdr:to>
    <xdr:sp macro="" textlink="">
      <xdr:nvSpPr>
        <xdr:cNvPr id="2" name="Oval 1">
          <a:extLst>
            <a:ext uri="{FF2B5EF4-FFF2-40B4-BE49-F238E27FC236}">
              <a16:creationId xmlns:a16="http://schemas.microsoft.com/office/drawing/2014/main" id="{EB1C5B1C-3362-F0D6-F7D0-161EFFAA3268}"/>
            </a:ext>
          </a:extLst>
        </xdr:cNvPr>
        <xdr:cNvSpPr/>
      </xdr:nvSpPr>
      <xdr:spPr>
        <a:xfrm>
          <a:off x="22740751" y="3792113"/>
          <a:ext cx="921385" cy="921385"/>
        </a:xfrm>
        <a:prstGeom prst="ellipse">
          <a:avLst/>
        </a:prstGeom>
        <a:solidFill>
          <a:srgbClr val="00704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r>
            <a:rPr lang="en-US" sz="800" kern="100">
              <a:effectLst/>
              <a:ea typeface="Calibri" panose="020F0502020204030204" pitchFamily="34" charset="0"/>
              <a:cs typeface="Times New Roman" panose="02020603050405020304" pitchFamily="18" charset="0"/>
            </a:rPr>
            <a:t>Starbucks, 7.88%</a:t>
          </a:r>
          <a:endParaRPr lang="en-SG" sz="1200" kern="100">
            <a:effectLst/>
            <a:ea typeface="Calibri" panose="020F0502020204030204" pitchFamily="34"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330200</xdr:colOff>
      <xdr:row>1</xdr:row>
      <xdr:rowOff>12700</xdr:rowOff>
    </xdr:from>
    <xdr:to>
      <xdr:col>12</xdr:col>
      <xdr:colOff>660467</xdr:colOff>
      <xdr:row>11</xdr:row>
      <xdr:rowOff>241300</xdr:rowOff>
    </xdr:to>
    <xdr:pic>
      <xdr:nvPicPr>
        <xdr:cNvPr id="6" name="Picture 1">
          <a:extLst>
            <a:ext uri="{FF2B5EF4-FFF2-40B4-BE49-F238E27FC236}">
              <a16:creationId xmlns:a16="http://schemas.microsoft.com/office/drawing/2014/main" id="{3EF76E74-A219-DC45-8AF8-5415623B46EE}"/>
            </a:ext>
          </a:extLst>
        </xdr:cNvPr>
        <xdr:cNvPicPr>
          <a:picLocks noChangeAspect="1"/>
        </xdr:cNvPicPr>
      </xdr:nvPicPr>
      <xdr:blipFill>
        <a:blip xmlns:r="http://schemas.openxmlformats.org/officeDocument/2006/relationships" r:embed="rId1"/>
        <a:stretch>
          <a:fillRect/>
        </a:stretch>
      </xdr:blipFill>
      <xdr:spPr>
        <a:xfrm>
          <a:off x="5651500" y="215900"/>
          <a:ext cx="7759767" cy="3276600"/>
        </a:xfrm>
        <a:prstGeom prst="rect">
          <a:avLst/>
        </a:prstGeom>
      </xdr:spPr>
    </xdr:pic>
    <xdr:clientData/>
  </xdr:twoCellAnchor>
  <xdr:twoCellAnchor>
    <xdr:from>
      <xdr:col>8</xdr:col>
      <xdr:colOff>912527</xdr:colOff>
      <xdr:row>13</xdr:row>
      <xdr:rowOff>1350</xdr:rowOff>
    </xdr:from>
    <xdr:to>
      <xdr:col>13</xdr:col>
      <xdr:colOff>50800</xdr:colOff>
      <xdr:row>24</xdr:row>
      <xdr:rowOff>101600</xdr:rowOff>
    </xdr:to>
    <xdr:graphicFrame macro="">
      <xdr:nvGraphicFramePr>
        <xdr:cNvPr id="2" name="Chart 2">
          <a:extLst>
            <a:ext uri="{FF2B5EF4-FFF2-40B4-BE49-F238E27FC236}">
              <a16:creationId xmlns:a16="http://schemas.microsoft.com/office/drawing/2014/main" id="{E5F0CF5B-ADE5-E549-A5A9-410C4BDF9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smu.sharepoint.com/Users/nadyamirabel/Library/Mobile%20Documents/com~apple~CloudDocs/SMU/6.%20Courses/Term%202/FNCE%206048/SBUX%20DCF_nad.xlsx" TargetMode="External"/><Relationship Id="rId1" Type="http://schemas.openxmlformats.org/officeDocument/2006/relationships/externalLinkPath" Target="https://smu.sharepoint.com/Users/nadyamirabel/Library/Mobile%20Documents/com~apple~CloudDocs/SMU/6.%20Courses/Term%202/FNCE%206048/SBUX%20DCF_n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genda"/>
      <sheetName val="FCFF"/>
      <sheetName val="Financial Ratios"/>
      <sheetName val="Operating Rev"/>
      <sheetName val="WACC"/>
      <sheetName val="BS"/>
      <sheetName val="IS"/>
      <sheetName val="CF"/>
    </sheetNames>
    <sheetDataSet>
      <sheetData sheetId="0"/>
      <sheetData sheetId="1">
        <row r="31">
          <cell r="F31">
            <v>0.23643532831040931</v>
          </cell>
        </row>
        <row r="44">
          <cell r="F44">
            <v>3127400</v>
          </cell>
        </row>
        <row r="46">
          <cell r="F46">
            <v>21472400</v>
          </cell>
        </row>
      </sheetData>
      <sheetData sheetId="2"/>
      <sheetData sheetId="3"/>
      <sheetData sheetId="4"/>
      <sheetData sheetId="5"/>
      <sheetData sheetId="6"/>
      <sheetData sheetId="7"/>
    </sheetDataSet>
  </externalBook>
</externalLink>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3">
  <rv s="0">
    <v>https://www.bing.com/financeapi/forcetrigger?t=a22k9c&amp;q=XNAS%3aSBUX&amp;form=skydnc</v>
    <v>Learn more on Bing</v>
  </rv>
  <rv s="1">
    <v>0</v>
    <v>STARBUCKS CORPORATION (XNAS:SBUX)</v>
    <v>2</v>
    <v>3</v>
    <v>Finance</v>
    <v>4</v>
    <v>en-GB</v>
    <v>a22k9c</v>
    <v>268435456</v>
    <v>1</v>
    <v>Powered by Refinitiv</v>
    <v>107.66</v>
    <v>71.55</v>
    <v>0.92500000000000004</v>
    <v>0.85</v>
    <v>1.1684000000000002E-2</v>
    <v>USD</v>
    <v>Starbucks Corporations is a coffee company, which roasts, markets and retails specialty coffee in the world. The Company operates in 86 markets and has approximately 38,000 stores worldwide. It has three segments: North America, International and Channel Development. North America segment includes the United States and Canada. International segment includes China, Japan, Asia Pacific, Europe, Middle East and Africa, Latin America and Caribbean. North America and International segments include both the Company-operated and licensed stores. Channel Development segment includes roasted whole bean and ground coffees, Starbucks- and Teavana-branded single-serve products, a variety of ready-to-drink beverages, such as Frappuccino and Starbucks Doubleshot, foodservice products and other branded products sold worldwide outside the Company-operated and licensed stores. A large portion of its Channel Development business operates under a licensed model of the Global Coffee Alliance with Nestle.</v>
    <v>381000</v>
    <v>Nasdaq Stock Market</v>
    <v>XNAS</v>
    <v>XNAS</v>
    <v>P O Box 34067, SEATTLE, WA, 98124-1067 US</v>
    <v>73.81</v>
    <v>Hotels &amp; Entertainment Services</v>
    <v>Stock</v>
    <v>45489.641272476561</v>
    <v>0</v>
    <v>71.55</v>
    <v>83366720000</v>
    <v>STARBUCKS CORPORATION</v>
    <v>STARBUCKS CORPORATION</v>
    <v>72.16</v>
    <v>23.207899999999999</v>
    <v>72.75</v>
    <v>73.599999999999994</v>
    <v>1132700000</v>
    <v>SBUX</v>
    <v>STARBUCKS CORPORATION (XNAS:SBUX)</v>
    <v>5125921</v>
    <v>10627671</v>
    <v>1985</v>
  </rv>
  <rv s="2">
    <v>1</v>
  </rv>
</rvData>
</file>

<file path=xl/richData/rdrichvaluestructure.xml><?xml version="1.0" encoding="utf-8"?>
<rvStructures xmlns="http://schemas.microsoft.com/office/spreadsheetml/2017/richdata" count="3">
  <s t="_hyperlink">
    <k n="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rvStructures>
</file>

<file path=xl/richData/rdsupportingpropertybag.xml><?xml version="1.0" encoding="utf-8"?>
<supportingPropertyBags xmlns="http://schemas.microsoft.com/office/spreadsheetml/2017/richdata2">
  <spbArrays count="1">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spbArrays>
  <spbData count="5">
    <spb s="0">
      <v>0</v>
      <v>Name</v>
      <v>LearnMoreOnLink</v>
    </spb>
    <spb s="1">
      <v>0</v>
      <v>0</v>
      <v>0</v>
    </spb>
    <spb s="2">
      <v>1</v>
      <v>1</v>
      <v>1</v>
      <v>1</v>
    </spb>
    <spb s="3">
      <v>1</v>
      <v>2</v>
      <v>2</v>
      <v>1</v>
      <v>3</v>
      <v>1</v>
      <v>1</v>
      <v>1</v>
      <v>4</v>
      <v>4</v>
      <v>5</v>
      <v>6</v>
      <v>1</v>
      <v>1</v>
      <v>1</v>
      <v>4</v>
      <v>7</v>
      <v>8</v>
      <v>9</v>
      <v>4</v>
    </spb>
    <spb s="4">
      <v>Real-Time Nasdaq Last Sale</v>
      <v>from previous close</v>
      <v>from previous close</v>
      <v>Source: Nasdaq Last Sale</v>
      <v>GMT</v>
    </spb>
  </spbData>
</supportingPropertyBags>
</file>

<file path=xl/richData/rdsupportingpropertybagstructure.xml><?xml version="1.0" encoding="utf-8"?>
<spbStructures xmlns="http://schemas.microsoft.com/office/spreadsheetml/2017/richdata2" count="5">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0" formatCode="General"/>
    </x:dxf>
    <x:dxf>
      <x:numFmt numFmtId="4" formatCode="#,##0.00"/>
    </x:dxf>
    <x:dxf>
      <x:numFmt numFmtId="3" formatCode="#,##0"/>
    </x:dxf>
    <x:dxf>
      <x:numFmt numFmtId="14" formatCode="0.00%"/>
    </x:dxf>
    <x:dxf>
      <x:numFmt numFmtId="27" formatCode="d/m/yy\ h:mm"/>
    </x:dxf>
    <x:dxf>
      <x:numFmt numFmtId="1" formatCode="0"/>
    </x:dxf>
    <x:dxf>
      <x:numFmt numFmtId="2" formatCode="0.00"/>
    </x:dxf>
  </dxfs>
  <richProperties>
    <rPr n="NumberFormat" t="s"/>
    <rPr n="IsTitleField" t="b"/>
  </richProperties>
  <richStyles>
    <rSty dxfid="0">
      <rpv i="0">_([$$-en-US]* #,##0.00_);_([$$-en-US]* (#,##0.00);_([$$-en-US]* "-"??_);_(@_)</rpv>
    </rSty>
    <rSty dxfid="1">
      <rpv i="0">#,##0.00</rpv>
    </rSty>
    <rSty>
      <rpv i="1">1</rpv>
    </rSty>
    <rSty dxfid="2">
      <rpv i="0">#,##0</rpv>
    </rSty>
    <rSty dxfid="3"/>
    <rSty dxfid="0">
      <rpv i="0">_([$$-en-US]* #,##0_);_([$$-en-US]* (#,##0);_([$$-en-US]* "-"_);_(@_)</rpv>
    </rSty>
    <rSty dxfid="4"/>
    <rSty dxfid="5">
      <rpv i="0">0</rpv>
    </rSty>
    <rSty dxfid="6">
      <rpv i="0">0.00</rpv>
    </rSty>
  </richStyles>
</richStyleShee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7B818-6CAD-3D4A-8BB3-5891C82A47A8}">
  <dimension ref="B2:B23"/>
  <sheetViews>
    <sheetView showGridLines="0" workbookViewId="0">
      <selection activeCell="C2" sqref="C2"/>
    </sheetView>
  </sheetViews>
  <sheetFormatPr baseColWidth="10" defaultColWidth="11" defaultRowHeight="16"/>
  <cols>
    <col min="2" max="2" width="121" bestFit="1" customWidth="1"/>
  </cols>
  <sheetData>
    <row r="2" spans="2:2">
      <c r="B2" s="135" t="s">
        <v>0</v>
      </c>
    </row>
    <row r="3" spans="2:2">
      <c r="B3" s="136" t="s">
        <v>1</v>
      </c>
    </row>
    <row r="4" spans="2:2">
      <c r="B4" s="136" t="s">
        <v>2</v>
      </c>
    </row>
    <row r="5" spans="2:2">
      <c r="B5" s="136" t="s">
        <v>3</v>
      </c>
    </row>
    <row r="6" spans="2:2">
      <c r="B6" s="136" t="s">
        <v>4</v>
      </c>
    </row>
    <row r="7" spans="2:2">
      <c r="B7" s="137" t="s">
        <v>5</v>
      </c>
    </row>
    <row r="8" spans="2:2">
      <c r="B8" s="136" t="s">
        <v>6</v>
      </c>
    </row>
    <row r="9" spans="2:2">
      <c r="B9" s="138" t="s">
        <v>7</v>
      </c>
    </row>
    <row r="10" spans="2:2">
      <c r="B10" s="142" t="s">
        <v>8</v>
      </c>
    </row>
    <row r="11" spans="2:2">
      <c r="B11" s="137" t="s">
        <v>9</v>
      </c>
    </row>
    <row r="12" spans="2:2">
      <c r="B12" s="139" t="s">
        <v>10</v>
      </c>
    </row>
    <row r="13" spans="2:2">
      <c r="B13" s="140" t="s">
        <v>11</v>
      </c>
    </row>
    <row r="14" spans="2:2">
      <c r="B14" s="140" t="s">
        <v>12</v>
      </c>
    </row>
    <row r="15" spans="2:2">
      <c r="B15" s="138" t="s">
        <v>13</v>
      </c>
    </row>
    <row r="16" spans="2:2">
      <c r="B16" s="142" t="s">
        <v>8</v>
      </c>
    </row>
    <row r="17" spans="2:2">
      <c r="B17" s="140" t="s">
        <v>14</v>
      </c>
    </row>
    <row r="18" spans="2:2">
      <c r="B18" s="137" t="s">
        <v>15</v>
      </c>
    </row>
    <row r="19" spans="2:2">
      <c r="B19" s="137" t="s">
        <v>16</v>
      </c>
    </row>
    <row r="20" spans="2:2">
      <c r="B20" s="140" t="s">
        <v>17</v>
      </c>
    </row>
    <row r="21" spans="2:2">
      <c r="B21" s="138" t="s">
        <v>18</v>
      </c>
    </row>
    <row r="22" spans="2:2">
      <c r="B22" s="140" t="s">
        <v>19</v>
      </c>
    </row>
    <row r="23" spans="2:2">
      <c r="B23" s="141" t="s">
        <v>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C7C6D-9C0E-F94D-9410-4FDF5336E11F}">
  <dimension ref="A1:B12"/>
  <sheetViews>
    <sheetView topLeftCell="A9" zoomScale="136" workbookViewId="0">
      <selection activeCell="A9" sqref="A9"/>
    </sheetView>
  </sheetViews>
  <sheetFormatPr baseColWidth="10" defaultColWidth="11" defaultRowHeight="16"/>
  <cols>
    <col min="1" max="1" width="29" bestFit="1" customWidth="1"/>
  </cols>
  <sheetData>
    <row r="1" spans="1:2">
      <c r="A1" s="11" t="s">
        <v>21</v>
      </c>
      <c r="B1" t="s">
        <v>22</v>
      </c>
    </row>
    <row r="3" spans="1:2">
      <c r="A3" s="9" t="s">
        <v>23</v>
      </c>
    </row>
    <row r="4" spans="1:2">
      <c r="A4" t="s">
        <v>24</v>
      </c>
    </row>
    <row r="7" spans="1:2">
      <c r="A7" s="9" t="s">
        <v>25</v>
      </c>
    </row>
    <row r="8" spans="1:2">
      <c r="A8" t="s">
        <v>26</v>
      </c>
    </row>
    <row r="12" spans="1:2">
      <c r="A12" s="9" t="s">
        <v>27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E2F5C-C7B9-BF43-9C7B-8FA42B619DF2}">
  <dimension ref="A1:K96"/>
  <sheetViews>
    <sheetView showGridLines="0" tabSelected="1" topLeftCell="A30" zoomScale="108" workbookViewId="0">
      <selection activeCell="F56" sqref="F56"/>
    </sheetView>
  </sheetViews>
  <sheetFormatPr baseColWidth="10" defaultColWidth="10.83203125" defaultRowHeight="15"/>
  <cols>
    <col min="1" max="1" width="34.83203125" style="14" bestFit="1" customWidth="1"/>
    <col min="2" max="2" width="35.1640625" style="14" bestFit="1" customWidth="1"/>
    <col min="3" max="4" width="19.6640625" style="14" bestFit="1" customWidth="1"/>
    <col min="5" max="6" width="19.1640625" style="14" bestFit="1" customWidth="1"/>
    <col min="7" max="7" width="21.83203125" style="14" bestFit="1" customWidth="1"/>
    <col min="8" max="11" width="19.6640625" style="14" bestFit="1" customWidth="1"/>
    <col min="12" max="13" width="10.83203125" style="15"/>
    <col min="14" max="14" width="18" style="15" customWidth="1"/>
    <col min="15" max="15" width="13.6640625" style="15" bestFit="1" customWidth="1"/>
    <col min="16" max="16384" width="10.83203125" style="15"/>
  </cols>
  <sheetData>
    <row r="1" spans="1:11">
      <c r="A1" s="13" t="s">
        <v>28</v>
      </c>
    </row>
    <row r="2" spans="1:11" ht="18">
      <c r="A2" s="37" t="s">
        <v>29</v>
      </c>
    </row>
    <row r="3" spans="1:11">
      <c r="A3" s="16"/>
      <c r="B3" s="16"/>
      <c r="C3" s="16"/>
      <c r="D3" s="16"/>
      <c r="E3" s="16"/>
      <c r="F3" s="16"/>
      <c r="G3" s="16"/>
      <c r="H3" s="16"/>
      <c r="I3" s="16"/>
      <c r="J3" s="16"/>
      <c r="K3" s="16"/>
    </row>
    <row r="4" spans="1:11">
      <c r="A4" s="15" t="s">
        <v>30</v>
      </c>
      <c r="B4" s="17" t="e" vm="1">
        <v>#VALUE!</v>
      </c>
      <c r="D4" s="15" t="s">
        <v>31</v>
      </c>
      <c r="E4" s="18">
        <f>B88</f>
        <v>122.59415251502909</v>
      </c>
      <c r="F4" s="15"/>
      <c r="I4" s="16"/>
      <c r="J4" s="16"/>
      <c r="K4" s="16"/>
    </row>
    <row r="5" spans="1:11">
      <c r="A5" s="15" t="s">
        <v>32</v>
      </c>
      <c r="B5" s="19"/>
      <c r="D5" s="15" t="s">
        <v>33</v>
      </c>
      <c r="E5" s="18" cm="1">
        <f t="array" ref="E5">_FV(B4,"Price")</f>
        <v>73.599999999999994</v>
      </c>
      <c r="F5" s="15">
        <v>104.02142004042457</v>
      </c>
      <c r="G5" s="14">
        <f>(F5-E5)/E5</f>
        <v>0.41333451141881222</v>
      </c>
    </row>
    <row r="6" spans="1:11">
      <c r="A6" s="15" t="s">
        <v>34</v>
      </c>
      <c r="B6" s="19"/>
      <c r="D6" s="15" t="s">
        <v>35</v>
      </c>
      <c r="E6" s="20">
        <f>E4/E5-1</f>
        <v>0.66568142004115627</v>
      </c>
      <c r="F6" s="15"/>
      <c r="I6" s="16"/>
      <c r="J6" s="16"/>
      <c r="K6" s="16"/>
    </row>
    <row r="7" spans="1:11">
      <c r="A7" s="16"/>
      <c r="B7" s="16"/>
      <c r="C7" s="16"/>
      <c r="D7" s="16"/>
      <c r="E7" s="16"/>
      <c r="F7" s="16"/>
      <c r="G7" s="16"/>
      <c r="H7" s="16"/>
      <c r="I7" s="16"/>
      <c r="J7" s="16"/>
      <c r="K7" s="16"/>
    </row>
    <row r="8" spans="1:11">
      <c r="A8" s="22" t="s">
        <v>36</v>
      </c>
      <c r="B8" s="23"/>
      <c r="C8" s="23"/>
      <c r="D8" s="23"/>
      <c r="E8" s="23"/>
      <c r="F8" s="23"/>
      <c r="G8" s="23"/>
      <c r="H8" s="23"/>
      <c r="I8" s="23"/>
      <c r="J8" s="23"/>
      <c r="K8" s="23"/>
    </row>
    <row r="9" spans="1:11" ht="16">
      <c r="A9" s="9" t="s">
        <v>37</v>
      </c>
      <c r="B9" s="9"/>
      <c r="C9"/>
      <c r="D9" s="9" t="s">
        <v>38</v>
      </c>
      <c r="E9"/>
      <c r="F9" s="15"/>
      <c r="G9" s="9" t="s">
        <v>39</v>
      </c>
      <c r="H9"/>
      <c r="I9"/>
      <c r="J9" s="9" t="s">
        <v>40</v>
      </c>
      <c r="K9"/>
    </row>
    <row r="10" spans="1:11" ht="16">
      <c r="A10" t="s">
        <v>41</v>
      </c>
      <c r="B10" s="12">
        <v>3</v>
      </c>
      <c r="C10"/>
      <c r="D10" t="s">
        <v>42</v>
      </c>
      <c r="E10" s="43">
        <v>7.0000000000000007E-2</v>
      </c>
      <c r="F10" s="15"/>
      <c r="G10" t="s">
        <v>42</v>
      </c>
      <c r="H10" s="43">
        <v>0.09</v>
      </c>
      <c r="I10"/>
      <c r="J10" t="s">
        <v>42</v>
      </c>
      <c r="K10" s="43">
        <v>0.11</v>
      </c>
    </row>
    <row r="11" spans="1:11" ht="16">
      <c r="A11" t="s">
        <v>43</v>
      </c>
      <c r="B11" s="12">
        <v>3</v>
      </c>
      <c r="C11"/>
      <c r="D11" t="s">
        <v>44</v>
      </c>
      <c r="E11" s="43">
        <v>7.0000000000000007E-2</v>
      </c>
      <c r="F11" s="15"/>
      <c r="G11" t="s">
        <v>44</v>
      </c>
      <c r="H11" s="43">
        <v>0.1</v>
      </c>
      <c r="I11"/>
      <c r="J11" t="s">
        <v>44</v>
      </c>
      <c r="K11" s="43">
        <v>0.12</v>
      </c>
    </row>
    <row r="12" spans="1:11" ht="16">
      <c r="A12" t="s">
        <v>45</v>
      </c>
      <c r="B12" s="12">
        <v>3</v>
      </c>
      <c r="C12"/>
      <c r="D12" t="s">
        <v>46</v>
      </c>
      <c r="E12" s="43">
        <v>6.5000000000000002E-2</v>
      </c>
      <c r="F12" s="15"/>
      <c r="G12" t="s">
        <v>46</v>
      </c>
      <c r="H12" s="43">
        <v>0.11</v>
      </c>
      <c r="I12"/>
      <c r="J12" t="s">
        <v>46</v>
      </c>
      <c r="K12" s="43">
        <v>0.13</v>
      </c>
    </row>
    <row r="13" spans="1:11" ht="16">
      <c r="C13"/>
      <c r="D13" t="s">
        <v>47</v>
      </c>
      <c r="E13" s="43">
        <v>0.06</v>
      </c>
      <c r="F13" s="15"/>
      <c r="G13" t="s">
        <v>47</v>
      </c>
      <c r="H13" s="43">
        <v>0.1</v>
      </c>
      <c r="I13"/>
      <c r="J13" t="s">
        <v>47</v>
      </c>
      <c r="K13" s="43">
        <v>0.12</v>
      </c>
    </row>
    <row r="14" spans="1:11" ht="16">
      <c r="A14" t="s">
        <v>42</v>
      </c>
      <c r="B14" s="72" cm="1">
        <f t="array" ref="B14">_xlfn.SWITCH(B10,1,E10,2,H10,3,K10)</f>
        <v>0.11</v>
      </c>
      <c r="C14"/>
      <c r="D14"/>
      <c r="E14"/>
      <c r="F14" s="15"/>
      <c r="G14"/>
      <c r="H14"/>
      <c r="I14"/>
      <c r="J14" s="15"/>
      <c r="K14" s="15"/>
    </row>
    <row r="15" spans="1:11" ht="16">
      <c r="A15" t="s">
        <v>44</v>
      </c>
      <c r="B15" s="72" cm="1">
        <f t="array" ref="B15">_xlfn.SWITCH(B10,1,E11,2,H11,3,K11)</f>
        <v>0.12</v>
      </c>
      <c r="C15"/>
      <c r="D15" t="s">
        <v>43</v>
      </c>
      <c r="E15" s="82">
        <f>WACC!B3</f>
        <v>8.0485630598429656E-2</v>
      </c>
      <c r="F15" s="15"/>
      <c r="G15" t="s">
        <v>43</v>
      </c>
      <c r="H15" s="82">
        <f>WACC!C3</f>
        <v>7.8804136760527999E-2</v>
      </c>
      <c r="I15"/>
      <c r="J15" t="s">
        <v>43</v>
      </c>
      <c r="K15" s="82">
        <f>WACC!D3</f>
        <v>7.7853671628641555E-2</v>
      </c>
    </row>
    <row r="16" spans="1:11" ht="16">
      <c r="A16" t="s">
        <v>46</v>
      </c>
      <c r="B16" s="72" cm="1">
        <f t="array" ref="B16">_xlfn.SWITCH(B10,1,E12,2,H12,3,K12)</f>
        <v>0.13</v>
      </c>
      <c r="C16"/>
      <c r="D16" t="s">
        <v>48</v>
      </c>
      <c r="E16" s="43">
        <v>0.02</v>
      </c>
      <c r="F16" s="15"/>
      <c r="G16" t="s">
        <v>48</v>
      </c>
      <c r="H16" s="43">
        <v>2.5000000000000001E-2</v>
      </c>
      <c r="I16"/>
      <c r="J16" t="s">
        <v>48</v>
      </c>
      <c r="K16" s="44">
        <v>0.03</v>
      </c>
    </row>
    <row r="17" spans="1:11" ht="16">
      <c r="A17" t="s">
        <v>47</v>
      </c>
      <c r="B17" s="72" cm="1">
        <f t="array" ref="B17">_xlfn.SWITCH(B10,1,E13,2,H13,3,K13)</f>
        <v>0.12</v>
      </c>
      <c r="C17" s="15"/>
      <c r="D17" s="15"/>
      <c r="E17" s="15"/>
      <c r="F17" s="15"/>
      <c r="G17" s="15"/>
      <c r="H17" s="15"/>
      <c r="I17" s="15"/>
      <c r="J17" s="15"/>
      <c r="K17" s="15"/>
    </row>
    <row r="18" spans="1:11" ht="16">
      <c r="A18" t="s">
        <v>43</v>
      </c>
      <c r="B18" s="72" cm="1">
        <f t="array" ref="B18">_xlfn.SWITCH(B11,1,E15,2,H15,3,K15)</f>
        <v>7.7853671628641555E-2</v>
      </c>
      <c r="C18" s="16"/>
      <c r="D18" s="16"/>
      <c r="E18" s="16"/>
      <c r="F18" s="16"/>
      <c r="G18" s="21"/>
      <c r="H18" s="21"/>
      <c r="I18" s="21"/>
      <c r="J18" s="21"/>
      <c r="K18" s="21"/>
    </row>
    <row r="19" spans="1:11" ht="16">
      <c r="A19" t="s">
        <v>48</v>
      </c>
      <c r="B19" s="72" cm="1">
        <f t="array" ref="B19">_xlfn.SWITCH(B12,1,E16,2,H16,3,K16)</f>
        <v>0.03</v>
      </c>
      <c r="C19" s="16"/>
      <c r="D19" s="16"/>
      <c r="E19" s="16"/>
      <c r="F19" s="16"/>
      <c r="G19" s="21"/>
      <c r="H19" s="21"/>
      <c r="I19" s="21"/>
      <c r="J19" s="21"/>
      <c r="K19" s="21"/>
    </row>
    <row r="20" spans="1:11">
      <c r="A20" s="15"/>
      <c r="B20" s="15"/>
      <c r="C20" s="16"/>
      <c r="D20" s="16"/>
      <c r="E20" s="16"/>
      <c r="F20" s="16"/>
      <c r="G20" s="38">
        <v>1</v>
      </c>
      <c r="H20" s="38">
        <v>2</v>
      </c>
      <c r="I20" s="38">
        <v>3</v>
      </c>
      <c r="J20" s="38">
        <v>4</v>
      </c>
      <c r="K20" s="38">
        <v>5</v>
      </c>
    </row>
    <row r="21" spans="1:11">
      <c r="A21" s="46" t="s">
        <v>49</v>
      </c>
      <c r="B21" s="39" t="s">
        <v>50</v>
      </c>
      <c r="C21" s="40" t="s">
        <v>51</v>
      </c>
      <c r="D21" s="40" t="s">
        <v>52</v>
      </c>
      <c r="E21" s="40" t="s">
        <v>53</v>
      </c>
      <c r="F21" s="40" t="s">
        <v>54</v>
      </c>
      <c r="G21" s="41" t="s">
        <v>55</v>
      </c>
      <c r="H21" s="41" t="s">
        <v>56</v>
      </c>
      <c r="I21" s="41" t="s">
        <v>57</v>
      </c>
      <c r="J21" s="41" t="s">
        <v>58</v>
      </c>
      <c r="K21" s="41" t="s">
        <v>59</v>
      </c>
    </row>
    <row r="22" spans="1:11">
      <c r="A22" s="24" t="s">
        <v>60</v>
      </c>
      <c r="B22" s="25">
        <v>7.0000000000000007E-2</v>
      </c>
      <c r="C22" s="25">
        <f>C65/B65-1</f>
        <v>-0.11281621813298326</v>
      </c>
      <c r="D22" s="25">
        <f t="shared" ref="D22:E22" si="0">D65/C65-1</f>
        <v>0.23567480227910531</v>
      </c>
      <c r="E22" s="25">
        <f t="shared" si="0"/>
        <v>0.10976029400631782</v>
      </c>
      <c r="F22" s="25">
        <f>F65/E65-1</f>
        <v>0.11551210376337595</v>
      </c>
      <c r="G22" s="26">
        <f>B14</f>
        <v>0.11</v>
      </c>
      <c r="H22" s="26">
        <f>B15</f>
        <v>0.12</v>
      </c>
      <c r="I22" s="26">
        <f>B16</f>
        <v>0.13</v>
      </c>
      <c r="J22" s="26">
        <f>B16</f>
        <v>0.13</v>
      </c>
      <c r="K22" s="26">
        <f>B17</f>
        <v>0.12</v>
      </c>
    </row>
    <row r="23" spans="1:11">
      <c r="A23" s="24" t="s">
        <v>61</v>
      </c>
      <c r="B23" s="25">
        <f>B66/B65</f>
        <v>0.71752186083007019</v>
      </c>
      <c r="C23" s="25">
        <f t="shared" ref="C23:F23" si="1">C66/C65</f>
        <v>0.78488391870056973</v>
      </c>
      <c r="D23" s="25">
        <f t="shared" si="1"/>
        <v>0.71065291150217136</v>
      </c>
      <c r="E23" s="25">
        <f>E66/E65</f>
        <v>0.74043342232475362</v>
      </c>
      <c r="F23" s="25">
        <f t="shared" si="1"/>
        <v>0.72630894272784885</v>
      </c>
      <c r="G23" s="26">
        <v>0.7</v>
      </c>
      <c r="H23" s="26">
        <v>0.7</v>
      </c>
      <c r="I23" s="26">
        <v>0.7</v>
      </c>
      <c r="J23" s="26">
        <v>0.7</v>
      </c>
      <c r="K23" s="26">
        <v>0.7</v>
      </c>
    </row>
    <row r="24" spans="1:11">
      <c r="A24" s="24" t="s">
        <v>62</v>
      </c>
      <c r="B24" s="25">
        <f>B69/B65</f>
        <v>0.1213040296356654</v>
      </c>
      <c r="C24" s="25">
        <f t="shared" ref="C24:F24" si="2">C69/C65</f>
        <v>0.13812399013521559</v>
      </c>
      <c r="D24" s="25">
        <f t="shared" si="2"/>
        <v>0.12305320605906278</v>
      </c>
      <c r="E24" s="25">
        <f t="shared" si="2"/>
        <v>0.11628418960443779</v>
      </c>
      <c r="F24" s="25">
        <f t="shared" si="2"/>
        <v>0.12072627002746306</v>
      </c>
      <c r="G24" s="27">
        <v>0.13</v>
      </c>
      <c r="H24" s="27">
        <v>0.14000000000000001</v>
      </c>
      <c r="I24" s="27">
        <v>0.13</v>
      </c>
      <c r="J24" s="27">
        <v>0.14000000000000001</v>
      </c>
      <c r="K24" s="27">
        <v>0.14000000000000001</v>
      </c>
    </row>
    <row r="25" spans="1:11">
      <c r="A25" s="24" t="s">
        <v>63</v>
      </c>
      <c r="B25" s="25">
        <f>B77/B41</f>
        <v>9.6493501944162258E-2</v>
      </c>
      <c r="C25" s="25">
        <f>C77/C41</f>
        <v>6.4214379929473209E-2</v>
      </c>
      <c r="D25" s="25">
        <f>D77/D41</f>
        <v>6.2506503416461454E-2</v>
      </c>
      <c r="E25" s="25">
        <f>E77/E41</f>
        <v>6.128573484470104E-2</v>
      </c>
      <c r="F25" s="25">
        <f>F77/F41</f>
        <v>5.2972460229835011E-2</v>
      </c>
      <c r="G25" s="26">
        <v>0.05</v>
      </c>
      <c r="H25" s="26">
        <v>0.06</v>
      </c>
      <c r="I25" s="26">
        <v>0.06</v>
      </c>
      <c r="J25" s="26">
        <v>0.06</v>
      </c>
      <c r="K25" s="26">
        <v>0.06</v>
      </c>
    </row>
    <row r="26" spans="1:11">
      <c r="A26" s="24" t="s">
        <v>64</v>
      </c>
      <c r="B26" s="25">
        <f>B39/B66</f>
        <v>8.0407980862753345E-2</v>
      </c>
      <c r="C26" s="25">
        <f>C39/C66</f>
        <v>8.4046178266310556E-2</v>
      </c>
      <c r="D26" s="25">
        <f>D39/D66</f>
        <v>7.7663180321518491E-2</v>
      </c>
      <c r="E26" s="25">
        <f>E39/E66</f>
        <v>9.1150457301752155E-2</v>
      </c>
      <c r="F26" s="25">
        <f>F39/F66</f>
        <v>6.9132854179583147E-2</v>
      </c>
      <c r="G26" s="26">
        <v>7.0000000000000007E-2</v>
      </c>
      <c r="H26" s="26">
        <v>7.0000000000000007E-2</v>
      </c>
      <c r="I26" s="26">
        <v>7.0000000000000007E-2</v>
      </c>
      <c r="J26" s="26">
        <v>7.0000000000000007E-2</v>
      </c>
      <c r="K26" s="26">
        <v>7.0000000000000007E-2</v>
      </c>
    </row>
    <row r="27" spans="1:11">
      <c r="A27" s="24" t="s">
        <v>65</v>
      </c>
      <c r="B27" s="25">
        <f>B38/B65</f>
        <v>3.3166594991813979E-2</v>
      </c>
      <c r="C27" s="25">
        <f>C38/C65</f>
        <v>3.7562717918190325E-2</v>
      </c>
      <c r="D27" s="25">
        <f>D38/D65</f>
        <v>3.2346200697852073E-2</v>
      </c>
      <c r="E27" s="25">
        <f>E38/E65</f>
        <v>3.6449273340092958E-2</v>
      </c>
      <c r="F27" s="25">
        <f>F38/F65</f>
        <v>3.2913975027518652E-2</v>
      </c>
      <c r="G27" s="26">
        <v>0.03</v>
      </c>
      <c r="H27" s="26">
        <v>0.03</v>
      </c>
      <c r="I27" s="26">
        <v>0.03</v>
      </c>
      <c r="J27" s="26">
        <v>0.03</v>
      </c>
      <c r="K27" s="26">
        <v>0.03</v>
      </c>
    </row>
    <row r="28" spans="1:11">
      <c r="A28" s="24" t="s">
        <v>66</v>
      </c>
      <c r="B28" s="25">
        <f>B46/B66</f>
        <v>0.25730133277253492</v>
      </c>
      <c r="C28" s="25">
        <f>C46/C66</f>
        <v>0.15957072198234998</v>
      </c>
      <c r="D28" s="25">
        <f>D46/D66</f>
        <v>0.20804280457098587</v>
      </c>
      <c r="E28" s="25">
        <f>E46/E66</f>
        <v>0.18670642232570606</v>
      </c>
      <c r="F28" s="25">
        <f>F46/F66</f>
        <v>0.17275942042297182</v>
      </c>
      <c r="G28" s="26">
        <v>0.2</v>
      </c>
      <c r="H28" s="26">
        <v>0.2</v>
      </c>
      <c r="I28" s="26">
        <v>0.2</v>
      </c>
      <c r="J28" s="26">
        <v>0.2</v>
      </c>
      <c r="K28" s="26">
        <v>0.2</v>
      </c>
    </row>
    <row r="29" spans="1:11">
      <c r="A29" s="24" t="s">
        <v>67</v>
      </c>
      <c r="B29" s="25">
        <f>B37/B65</f>
        <v>0.10400775597353312</v>
      </c>
      <c r="C29" s="25">
        <f>C37/C65</f>
        <v>0.19695977549111318</v>
      </c>
      <c r="D29" s="25">
        <f>D37/D65</f>
        <v>0.22772757616842049</v>
      </c>
      <c r="E29" s="25">
        <f>E37/E65</f>
        <v>9.8693655562893987E-2</v>
      </c>
      <c r="F29" s="25">
        <f>F37/F65</f>
        <v>0.10988002979797418</v>
      </c>
      <c r="G29" s="26">
        <v>0.1</v>
      </c>
      <c r="H29" s="26">
        <v>0.13</v>
      </c>
      <c r="I29" s="26">
        <v>0.14000000000000001</v>
      </c>
      <c r="J29" s="26">
        <v>0.15</v>
      </c>
      <c r="K29" s="26">
        <v>0.17</v>
      </c>
    </row>
    <row r="30" spans="1:11">
      <c r="A30" s="24" t="s">
        <v>68</v>
      </c>
      <c r="B30" s="25"/>
      <c r="C30" s="25">
        <f>C41/B41-1</f>
        <v>0.56159316215364141</v>
      </c>
      <c r="D30" s="25">
        <f t="shared" ref="D30:F30" si="3">D41/C41-1</f>
        <v>3.4787836370651526E-2</v>
      </c>
      <c r="E30" s="25">
        <f t="shared" si="3"/>
        <v>2.4305435121917407E-2</v>
      </c>
      <c r="F30" s="25">
        <f t="shared" si="3"/>
        <v>8.8777332870554559E-2</v>
      </c>
      <c r="G30" s="26">
        <v>0.1</v>
      </c>
      <c r="H30" s="26">
        <v>0.04</v>
      </c>
      <c r="I30" s="26">
        <v>0.04</v>
      </c>
      <c r="J30" s="26">
        <v>0.04</v>
      </c>
      <c r="K30" s="26">
        <v>0.04</v>
      </c>
    </row>
    <row r="31" spans="1:11">
      <c r="A31" s="24" t="s">
        <v>69</v>
      </c>
      <c r="B31" s="25">
        <v>0.19515471765706865</v>
      </c>
      <c r="C31" s="25">
        <v>0.20585709378220543</v>
      </c>
      <c r="D31" s="25">
        <v>0.21590845451660476</v>
      </c>
      <c r="E31" s="25">
        <v>0.22413100498594013</v>
      </c>
      <c r="F31" s="25">
        <v>0.23643532831040931</v>
      </c>
      <c r="G31" s="26">
        <v>0.2</v>
      </c>
      <c r="H31" s="26">
        <v>0.2</v>
      </c>
      <c r="I31" s="26">
        <v>0.2</v>
      </c>
      <c r="J31" s="26">
        <v>0.2</v>
      </c>
      <c r="K31" s="26">
        <v>0.2</v>
      </c>
    </row>
    <row r="32" spans="1:11">
      <c r="A32" s="16" t="s">
        <v>70</v>
      </c>
      <c r="B32" s="84"/>
      <c r="C32" s="84">
        <f>C40/B40-1</f>
        <v>0.51474805407619817</v>
      </c>
      <c r="D32" s="84">
        <f>D40/C40-1</f>
        <v>-0.1959432048681542</v>
      </c>
      <c r="E32" s="84">
        <f>E40/D40-1</f>
        <v>-0.18651194080053812</v>
      </c>
      <c r="F32" s="84">
        <f>F40/E40-1</f>
        <v>-0.25594376679760178</v>
      </c>
      <c r="G32" s="85">
        <v>-0.2</v>
      </c>
      <c r="H32" s="85">
        <v>-0.2</v>
      </c>
      <c r="I32" s="85">
        <v>-0.2</v>
      </c>
      <c r="J32" s="85">
        <v>-0.2</v>
      </c>
      <c r="K32" s="85">
        <v>-0.2</v>
      </c>
    </row>
    <row r="33" spans="1:11">
      <c r="A33" s="14" t="s">
        <v>71</v>
      </c>
      <c r="B33" s="28">
        <f>B68/B65</f>
        <v>1.1241634790219023E-2</v>
      </c>
      <c r="C33" s="28">
        <f t="shared" ref="C33:F33" si="4">C68/C65</f>
        <v>1.3712900756867081E-2</v>
      </c>
      <c r="D33" s="28">
        <f t="shared" si="4"/>
        <v>1.3258501200938728E-2</v>
      </c>
      <c r="E33" s="28">
        <f t="shared" si="4"/>
        <v>7.2588472045221281E-3</v>
      </c>
      <c r="F33" s="28">
        <f t="shared" si="4"/>
        <v>8.2945107239351112E-3</v>
      </c>
      <c r="G33" s="83">
        <v>0.01</v>
      </c>
      <c r="H33" s="83">
        <v>0.01</v>
      </c>
      <c r="I33" s="83">
        <v>0.01</v>
      </c>
      <c r="J33" s="83">
        <v>0.01</v>
      </c>
      <c r="K33" s="83">
        <v>0.01</v>
      </c>
    </row>
    <row r="34" spans="1:11">
      <c r="A34" s="14" t="s">
        <v>72</v>
      </c>
      <c r="B34" s="28"/>
      <c r="C34" s="28">
        <f>C50/B50-1</f>
        <v>-7.5059458526907319E-2</v>
      </c>
      <c r="D34" s="28">
        <f>D50/C50-1</f>
        <v>-4.0635242079458567E-2</v>
      </c>
      <c r="E34" s="28">
        <f>E50/D50-1</f>
        <v>-4.313409621153208E-2</v>
      </c>
      <c r="F34" s="28">
        <f>F50/E50-1</f>
        <v>-3.9853705262546835E-2</v>
      </c>
      <c r="G34" s="83">
        <v>-0.04</v>
      </c>
      <c r="H34" s="83">
        <v>-0.04</v>
      </c>
      <c r="I34" s="83">
        <v>-0.04</v>
      </c>
      <c r="J34" s="83">
        <v>-0.04</v>
      </c>
      <c r="K34" s="83">
        <v>-0.04</v>
      </c>
    </row>
    <row r="35" spans="1:11">
      <c r="B35" s="28"/>
      <c r="C35" s="28"/>
      <c r="D35" s="28"/>
      <c r="E35" s="28"/>
      <c r="F35" s="28"/>
      <c r="G35" s="83"/>
      <c r="H35" s="83"/>
      <c r="I35" s="83"/>
      <c r="J35" s="83"/>
      <c r="K35" s="83"/>
    </row>
    <row r="36" spans="1:11">
      <c r="A36" s="13" t="s">
        <v>73</v>
      </c>
    </row>
    <row r="37" spans="1:11">
      <c r="A37" s="24" t="s">
        <v>74</v>
      </c>
      <c r="B37" s="24">
        <v>2757100</v>
      </c>
      <c r="C37" s="24">
        <v>4632100</v>
      </c>
      <c r="D37" s="24">
        <v>6617900</v>
      </c>
      <c r="E37" s="24">
        <v>3182900</v>
      </c>
      <c r="F37" s="24">
        <v>3953000</v>
      </c>
      <c r="G37" s="47">
        <f>G29*G65</f>
        <v>3993291.6</v>
      </c>
      <c r="H37" s="29">
        <f>H29*H65</f>
        <v>5814232.5696</v>
      </c>
      <c r="I37" s="29">
        <f>I29*I65</f>
        <v>7075473.7885440011</v>
      </c>
      <c r="J37" s="29">
        <f>J29*J65</f>
        <v>8566377.1939872</v>
      </c>
      <c r="K37" s="29">
        <f>K29*K65</f>
        <v>10873588.11823442</v>
      </c>
    </row>
    <row r="38" spans="1:11">
      <c r="A38" s="24" t="s">
        <v>75</v>
      </c>
      <c r="B38" s="24">
        <v>879200</v>
      </c>
      <c r="C38" s="24">
        <v>883400</v>
      </c>
      <c r="D38" s="24">
        <v>940000</v>
      </c>
      <c r="E38" s="24">
        <v>1175500</v>
      </c>
      <c r="F38" s="24">
        <v>1184100</v>
      </c>
      <c r="G38" s="47">
        <f>G27*G65</f>
        <v>1197987.48</v>
      </c>
      <c r="H38" s="29">
        <f>H27*H65</f>
        <v>1341745.9776000001</v>
      </c>
      <c r="I38" s="29">
        <f>I27*I65</f>
        <v>1516172.954688</v>
      </c>
      <c r="J38" s="29">
        <f>J27*J65</f>
        <v>1713275.4387974401</v>
      </c>
      <c r="K38" s="29">
        <f>K27*K65</f>
        <v>1918868.4914531328</v>
      </c>
    </row>
    <row r="39" spans="1:11">
      <c r="A39" s="24" t="s">
        <v>76</v>
      </c>
      <c r="B39" s="24">
        <v>1529400</v>
      </c>
      <c r="C39" s="24">
        <v>1551400</v>
      </c>
      <c r="D39" s="24">
        <v>1603900</v>
      </c>
      <c r="E39" s="24">
        <v>2176600</v>
      </c>
      <c r="F39" s="24">
        <v>1806400</v>
      </c>
      <c r="G39" s="47">
        <f>G26*G66</f>
        <v>1956712.8840000001</v>
      </c>
      <c r="H39" s="29">
        <f>H26*H66</f>
        <v>2191518.4300799998</v>
      </c>
      <c r="I39" s="29">
        <f>I26*I66</f>
        <v>2476415.8259903998</v>
      </c>
      <c r="J39" s="29">
        <f>J26*J66</f>
        <v>2798349.8833691524</v>
      </c>
      <c r="K39" s="29">
        <f>K26*K66</f>
        <v>3134151.8693734505</v>
      </c>
    </row>
    <row r="40" spans="1:11">
      <c r="A40" s="24" t="s">
        <v>77</v>
      </c>
      <c r="B40" s="24">
        <v>488200</v>
      </c>
      <c r="C40" s="24">
        <v>739500</v>
      </c>
      <c r="D40" s="24">
        <v>594600</v>
      </c>
      <c r="E40" s="24">
        <v>483700</v>
      </c>
      <c r="F40" s="24">
        <v>359900</v>
      </c>
      <c r="G40" s="47">
        <f>F40*G32+F40</f>
        <v>287920</v>
      </c>
      <c r="H40" s="47">
        <f>G40*H32+G40</f>
        <v>230336</v>
      </c>
      <c r="I40" s="47">
        <f>H40*I32+H40</f>
        <v>184268.79999999999</v>
      </c>
      <c r="J40" s="47">
        <f>I40*J32+I40</f>
        <v>147415.03999999998</v>
      </c>
      <c r="K40" s="47">
        <f>J40*K32+J40</f>
        <v>117932.03199999998</v>
      </c>
    </row>
    <row r="41" spans="1:11">
      <c r="A41" s="24" t="s">
        <v>78</v>
      </c>
      <c r="B41" s="24">
        <v>14273500</v>
      </c>
      <c r="C41" s="24">
        <v>22289400</v>
      </c>
      <c r="D41" s="24">
        <v>23064800</v>
      </c>
      <c r="E41" s="24">
        <v>23625400</v>
      </c>
      <c r="F41" s="24">
        <v>25722800</v>
      </c>
      <c r="G41" s="47">
        <f>F41*(1+G30)</f>
        <v>28295080.000000004</v>
      </c>
      <c r="H41" s="29">
        <f>G41*(1+H30)</f>
        <v>29426883.200000007</v>
      </c>
      <c r="I41" s="29">
        <f>H41*(1+I30)</f>
        <v>30603958.528000008</v>
      </c>
      <c r="J41" s="29">
        <f>I41*(1+J30)</f>
        <v>31828116.869120009</v>
      </c>
      <c r="K41" s="29">
        <f>J41*(1+K30)</f>
        <v>33101241.54388481</v>
      </c>
    </row>
    <row r="42" spans="1:11">
      <c r="A42" s="24" t="s">
        <v>79</v>
      </c>
      <c r="B42" s="24">
        <v>7841800</v>
      </c>
      <c r="C42" s="24">
        <v>7913900</v>
      </c>
      <c r="D42" s="24">
        <v>8459300</v>
      </c>
      <c r="E42" s="24">
        <v>9049300</v>
      </c>
      <c r="F42" s="24">
        <v>9923100</v>
      </c>
      <c r="G42" s="47">
        <f>F42+G25*F43</f>
        <v>10713085</v>
      </c>
      <c r="H42" s="29">
        <f>G42+H25*G43</f>
        <v>11768004.699999999</v>
      </c>
      <c r="I42" s="29">
        <f>H42+I25*H43</f>
        <v>12827537.41</v>
      </c>
      <c r="J42" s="29">
        <f>I42+J25*I43</f>
        <v>13894122.67708</v>
      </c>
      <c r="K42" s="29">
        <f>J42+K25*J43</f>
        <v>14970162.3286024</v>
      </c>
    </row>
    <row r="43" spans="1:11">
      <c r="A43" s="24" t="s">
        <v>80</v>
      </c>
      <c r="B43" s="24">
        <f>B41-B42</f>
        <v>6431700</v>
      </c>
      <c r="C43" s="24">
        <f t="shared" ref="C43:K43" si="5">C41-C42</f>
        <v>14375500</v>
      </c>
      <c r="D43" s="24">
        <f t="shared" si="5"/>
        <v>14605500</v>
      </c>
      <c r="E43" s="24">
        <f t="shared" si="5"/>
        <v>14576100</v>
      </c>
      <c r="F43" s="24">
        <f t="shared" si="5"/>
        <v>15799700</v>
      </c>
      <c r="G43" s="31">
        <f t="shared" si="5"/>
        <v>17581995.000000004</v>
      </c>
      <c r="H43" s="31">
        <f t="shared" si="5"/>
        <v>17658878.500000007</v>
      </c>
      <c r="I43" s="31">
        <f t="shared" si="5"/>
        <v>17776421.118000008</v>
      </c>
      <c r="J43" s="31">
        <f t="shared" si="5"/>
        <v>17933994.192040011</v>
      </c>
      <c r="K43" s="31">
        <f t="shared" si="5"/>
        <v>18131079.21528241</v>
      </c>
    </row>
    <row r="44" spans="1:11">
      <c r="A44" s="24" t="s">
        <v>81</v>
      </c>
      <c r="B44" s="24">
        <v>220000</v>
      </c>
      <c r="C44" s="24">
        <v>206100</v>
      </c>
      <c r="D44" s="24">
        <v>281700</v>
      </c>
      <c r="E44" s="24">
        <v>279100</v>
      </c>
      <c r="F44" s="24">
        <v>247400</v>
      </c>
      <c r="G44" s="47">
        <v>2744400</v>
      </c>
      <c r="H44" s="47">
        <v>2744400</v>
      </c>
      <c r="I44" s="47">
        <v>2744400</v>
      </c>
      <c r="J44" s="47">
        <v>2744400</v>
      </c>
      <c r="K44" s="47">
        <v>2744400</v>
      </c>
    </row>
    <row r="45" spans="1:11">
      <c r="A45" s="24" t="s">
        <v>82</v>
      </c>
      <c r="B45" s="24">
        <v>6914000</v>
      </c>
      <c r="C45" s="24">
        <v>6986500</v>
      </c>
      <c r="D45" s="24">
        <v>6749000</v>
      </c>
      <c r="E45" s="24">
        <v>6104500</v>
      </c>
      <c r="F45" s="24">
        <v>6095000</v>
      </c>
      <c r="G45" s="47">
        <v>6095000</v>
      </c>
      <c r="H45" s="47">
        <v>6095000</v>
      </c>
      <c r="I45" s="47">
        <v>6095000</v>
      </c>
      <c r="J45" s="47">
        <v>6095000</v>
      </c>
      <c r="K45" s="47">
        <v>6095000</v>
      </c>
    </row>
    <row r="46" spans="1:11">
      <c r="A46" s="24" t="s">
        <v>83</v>
      </c>
      <c r="B46" s="24">
        <v>4894000</v>
      </c>
      <c r="C46" s="24">
        <v>2945500</v>
      </c>
      <c r="D46" s="24">
        <v>4296500</v>
      </c>
      <c r="E46" s="24">
        <v>4458400</v>
      </c>
      <c r="F46" s="24">
        <v>4514100</v>
      </c>
      <c r="G46" s="47">
        <f>G28*G66</f>
        <v>5590608.2400000002</v>
      </c>
      <c r="H46" s="29">
        <f>H28*H66</f>
        <v>6261481.2287999997</v>
      </c>
      <c r="I46" s="29">
        <f>I28*I66</f>
        <v>7075473.7885439992</v>
      </c>
      <c r="J46" s="29">
        <f>J28*J66</f>
        <v>7995285.3810547208</v>
      </c>
      <c r="K46" s="29">
        <f>K28*K66</f>
        <v>8954719.6267812867</v>
      </c>
    </row>
    <row r="47" spans="1:11">
      <c r="A47" s="24" t="s">
        <v>84</v>
      </c>
      <c r="B47" s="24">
        <v>0</v>
      </c>
      <c r="C47" s="24">
        <v>2937500</v>
      </c>
      <c r="D47" s="24">
        <v>2250200</v>
      </c>
      <c r="E47" s="24">
        <v>3169700</v>
      </c>
      <c r="F47" s="24">
        <v>3127400</v>
      </c>
      <c r="G47" s="47">
        <v>3127400</v>
      </c>
      <c r="H47" s="47">
        <v>3127400</v>
      </c>
      <c r="I47" s="47">
        <v>3127400</v>
      </c>
      <c r="J47" s="47">
        <v>3127400</v>
      </c>
      <c r="K47" s="47">
        <v>3127400</v>
      </c>
    </row>
    <row r="48" spans="1:11">
      <c r="A48" s="24" t="s">
        <v>85</v>
      </c>
      <c r="B48" s="24">
        <v>1274700</v>
      </c>
      <c r="C48" s="24">
        <v>1463800</v>
      </c>
      <c r="D48" s="24">
        <v>1604700</v>
      </c>
      <c r="E48" s="24">
        <v>1523700</v>
      </c>
      <c r="F48" s="24">
        <v>1703800</v>
      </c>
      <c r="G48" s="47">
        <f>F48*1.1</f>
        <v>1874180.0000000002</v>
      </c>
      <c r="H48" s="29">
        <f t="shared" ref="H48:K48" si="6">G48*1.1</f>
        <v>2061598.0000000005</v>
      </c>
      <c r="I48" s="29">
        <f t="shared" si="6"/>
        <v>2267757.8000000007</v>
      </c>
      <c r="J48" s="29">
        <f t="shared" si="6"/>
        <v>2494533.580000001</v>
      </c>
      <c r="K48" s="29">
        <f t="shared" si="6"/>
        <v>2743986.9380000015</v>
      </c>
    </row>
    <row r="49" spans="1:11">
      <c r="A49" s="24" t="s">
        <v>86</v>
      </c>
      <c r="B49" s="24">
        <v>11167000</v>
      </c>
      <c r="C49" s="24">
        <v>22321300</v>
      </c>
      <c r="D49" s="24">
        <v>21354900</v>
      </c>
      <c r="E49" s="24">
        <v>20635100</v>
      </c>
      <c r="F49" s="24">
        <v>21472400</v>
      </c>
      <c r="G49" s="47">
        <v>21472400</v>
      </c>
      <c r="H49" s="47">
        <v>21472400</v>
      </c>
      <c r="I49" s="47">
        <v>21472400</v>
      </c>
      <c r="J49" s="47">
        <v>21472400</v>
      </c>
      <c r="K49" s="47">
        <v>21472400</v>
      </c>
    </row>
    <row r="50" spans="1:11">
      <c r="A50" s="24" t="s">
        <v>87</v>
      </c>
      <c r="B50" s="24">
        <v>8114900</v>
      </c>
      <c r="C50" s="24">
        <v>7505800</v>
      </c>
      <c r="D50" s="24">
        <v>7200800</v>
      </c>
      <c r="E50" s="24">
        <v>6890200</v>
      </c>
      <c r="F50" s="24">
        <v>6615600</v>
      </c>
      <c r="G50" s="47">
        <f>F50*G34+F50</f>
        <v>6350976</v>
      </c>
      <c r="H50" s="47">
        <f>G50*H34+G50</f>
        <v>6096936.96</v>
      </c>
      <c r="I50" s="47">
        <f>H50*I34+H50</f>
        <v>5853059.4815999996</v>
      </c>
      <c r="J50" s="47">
        <f>I50*J34+I50</f>
        <v>5618937.1023359997</v>
      </c>
      <c r="K50" s="47">
        <f>J50*K34+J50</f>
        <v>5394179.61824256</v>
      </c>
    </row>
    <row r="51" spans="1:11">
      <c r="A51" s="24" t="s">
        <v>88</v>
      </c>
      <c r="B51" s="24">
        <f>B47+B49</f>
        <v>11167000</v>
      </c>
      <c r="C51" s="24">
        <f>C47+C49</f>
        <v>25258800</v>
      </c>
      <c r="D51" s="24">
        <f>D47+D49</f>
        <v>23605100</v>
      </c>
      <c r="E51" s="24">
        <f>E47+E49</f>
        <v>23804800</v>
      </c>
      <c r="F51" s="24">
        <f>F47+F49</f>
        <v>24599800</v>
      </c>
      <c r="G51" s="47">
        <f t="shared" ref="G51:K51" si="7">G47+G49</f>
        <v>24599800</v>
      </c>
      <c r="H51" s="29">
        <f t="shared" si="7"/>
        <v>24599800</v>
      </c>
      <c r="I51" s="29">
        <f t="shared" si="7"/>
        <v>24599800</v>
      </c>
      <c r="J51" s="29">
        <f t="shared" si="7"/>
        <v>24599800</v>
      </c>
      <c r="K51" s="29">
        <f t="shared" si="7"/>
        <v>24599800</v>
      </c>
    </row>
    <row r="52" spans="1:11">
      <c r="A52" s="24" t="s">
        <v>89</v>
      </c>
      <c r="B52" s="24">
        <f t="shared" ref="B52:K52" si="8">B38+B39</f>
        <v>2408600</v>
      </c>
      <c r="C52" s="24">
        <f t="shared" si="8"/>
        <v>2434800</v>
      </c>
      <c r="D52" s="24">
        <f t="shared" si="8"/>
        <v>2543900</v>
      </c>
      <c r="E52" s="24">
        <f t="shared" si="8"/>
        <v>3352100</v>
      </c>
      <c r="F52" s="24">
        <f t="shared" si="8"/>
        <v>2990500</v>
      </c>
      <c r="G52" s="47">
        <f t="shared" si="8"/>
        <v>3154700.3640000001</v>
      </c>
      <c r="H52" s="29">
        <f t="shared" si="8"/>
        <v>3533264.4076800002</v>
      </c>
      <c r="I52" s="29">
        <f t="shared" si="8"/>
        <v>3992588.7806783998</v>
      </c>
      <c r="J52" s="29">
        <f t="shared" si="8"/>
        <v>4511625.3221665928</v>
      </c>
      <c r="K52" s="29">
        <f t="shared" si="8"/>
        <v>5053020.3608265836</v>
      </c>
    </row>
    <row r="53" spans="1:11">
      <c r="A53" s="24" t="s">
        <v>90</v>
      </c>
      <c r="B53" s="24">
        <f t="shared" ref="B53:K53" si="9">B46</f>
        <v>4894000</v>
      </c>
      <c r="C53" s="24">
        <f t="shared" si="9"/>
        <v>2945500</v>
      </c>
      <c r="D53" s="24">
        <f t="shared" si="9"/>
        <v>4296500</v>
      </c>
      <c r="E53" s="24">
        <f t="shared" si="9"/>
        <v>4458400</v>
      </c>
      <c r="F53" s="24">
        <f t="shared" si="9"/>
        <v>4514100</v>
      </c>
      <c r="G53" s="47">
        <f>G46</f>
        <v>5590608.2400000002</v>
      </c>
      <c r="H53" s="29">
        <f t="shared" si="9"/>
        <v>6261481.2287999997</v>
      </c>
      <c r="I53" s="29">
        <f t="shared" si="9"/>
        <v>7075473.7885439992</v>
      </c>
      <c r="J53" s="29">
        <f t="shared" si="9"/>
        <v>7995285.3810547208</v>
      </c>
      <c r="K53" s="29">
        <f t="shared" si="9"/>
        <v>8954719.6267812867</v>
      </c>
    </row>
    <row r="54" spans="1:11">
      <c r="A54" s="24" t="s">
        <v>91</v>
      </c>
      <c r="B54" s="24">
        <f>B52-B53</f>
        <v>-2485400</v>
      </c>
      <c r="C54" s="24">
        <f t="shared" ref="C54:K54" si="10">C52-C53</f>
        <v>-510700</v>
      </c>
      <c r="D54" s="24">
        <f t="shared" si="10"/>
        <v>-1752600</v>
      </c>
      <c r="E54" s="24">
        <f t="shared" si="10"/>
        <v>-1106300</v>
      </c>
      <c r="F54" s="24">
        <f t="shared" si="10"/>
        <v>-1523600</v>
      </c>
      <c r="G54" s="47">
        <f t="shared" si="10"/>
        <v>-2435907.8760000002</v>
      </c>
      <c r="H54" s="29">
        <f t="shared" si="10"/>
        <v>-2728216.8211199995</v>
      </c>
      <c r="I54" s="29">
        <f t="shared" si="10"/>
        <v>-3082885.0078655994</v>
      </c>
      <c r="J54" s="29">
        <f t="shared" si="10"/>
        <v>-3483660.058888128</v>
      </c>
      <c r="K54" s="29">
        <f t="shared" si="10"/>
        <v>-3901699.2659547031</v>
      </c>
    </row>
    <row r="55" spans="1:11">
      <c r="A55" s="24" t="s">
        <v>92</v>
      </c>
      <c r="B55" s="24"/>
      <c r="C55" s="24">
        <f>C54-B54</f>
        <v>1974700</v>
      </c>
      <c r="D55" s="24">
        <f t="shared" ref="D55:K55" si="11">D54-C54</f>
        <v>-1241900</v>
      </c>
      <c r="E55" s="24">
        <f t="shared" si="11"/>
        <v>646300</v>
      </c>
      <c r="F55" s="24">
        <f t="shared" si="11"/>
        <v>-417300</v>
      </c>
      <c r="G55" s="47">
        <f t="shared" si="11"/>
        <v>-912307.87600000016</v>
      </c>
      <c r="H55" s="29">
        <f t="shared" si="11"/>
        <v>-292308.94511999935</v>
      </c>
      <c r="I55" s="29">
        <f t="shared" si="11"/>
        <v>-354668.18674559984</v>
      </c>
      <c r="J55" s="29">
        <f t="shared" si="11"/>
        <v>-400775.05102252867</v>
      </c>
      <c r="K55" s="29">
        <f t="shared" si="11"/>
        <v>-418039.20706657507</v>
      </c>
    </row>
    <row r="56" spans="1:11">
      <c r="A56" s="24" t="s">
        <v>93</v>
      </c>
      <c r="B56" s="24"/>
      <c r="C56" s="24">
        <f>C43-B43+C77</f>
        <v>9375100</v>
      </c>
      <c r="D56" s="24">
        <f t="shared" ref="D56:K56" si="12">D43-C43+D77</f>
        <v>1671700</v>
      </c>
      <c r="E56" s="24">
        <f t="shared" si="12"/>
        <v>1418500</v>
      </c>
      <c r="F56" s="24">
        <f t="shared" si="12"/>
        <v>2586200</v>
      </c>
      <c r="G56" s="47">
        <f>G43-F43+G77</f>
        <v>3197049.0000000037</v>
      </c>
      <c r="H56" s="29">
        <f t="shared" si="12"/>
        <v>1842496.492000004</v>
      </c>
      <c r="I56" s="29">
        <f t="shared" si="12"/>
        <v>1953780.1296800012</v>
      </c>
      <c r="J56" s="29">
        <f t="shared" si="12"/>
        <v>2067260.0861872036</v>
      </c>
      <c r="K56" s="29">
        <f t="shared" si="12"/>
        <v>2183159.5158754876</v>
      </c>
    </row>
    <row r="57" spans="1:11">
      <c r="A57" s="24" t="s">
        <v>94</v>
      </c>
      <c r="B57" s="24">
        <f t="shared" ref="B57:K57" si="13">B37+B38+B39+B40</f>
        <v>5653900</v>
      </c>
      <c r="C57" s="24">
        <f t="shared" si="13"/>
        <v>7806400</v>
      </c>
      <c r="D57" s="24">
        <f t="shared" si="13"/>
        <v>9756400</v>
      </c>
      <c r="E57" s="24">
        <f t="shared" si="13"/>
        <v>7018700</v>
      </c>
      <c r="F57" s="24">
        <f t="shared" si="13"/>
        <v>7303400</v>
      </c>
      <c r="G57" s="47">
        <f t="shared" si="13"/>
        <v>7435911.9639999997</v>
      </c>
      <c r="H57" s="29">
        <f t="shared" si="13"/>
        <v>9577832.9772800002</v>
      </c>
      <c r="I57" s="29">
        <f t="shared" si="13"/>
        <v>11252331.369222401</v>
      </c>
      <c r="J57" s="29">
        <f t="shared" si="13"/>
        <v>13225417.556153793</v>
      </c>
      <c r="K57" s="29">
        <f t="shared" si="13"/>
        <v>16044540.511061003</v>
      </c>
    </row>
    <row r="58" spans="1:11">
      <c r="A58" s="24" t="s">
        <v>95</v>
      </c>
      <c r="B58" s="24">
        <f t="shared" ref="B58:K58" si="14">SUM(B46:B48)</f>
        <v>6168700</v>
      </c>
      <c r="C58" s="24">
        <f t="shared" si="14"/>
        <v>7346800</v>
      </c>
      <c r="D58" s="24">
        <f t="shared" si="14"/>
        <v>8151400</v>
      </c>
      <c r="E58" s="24">
        <f t="shared" si="14"/>
        <v>9151800</v>
      </c>
      <c r="F58" s="24">
        <f t="shared" si="14"/>
        <v>9345300</v>
      </c>
      <c r="G58" s="31">
        <f t="shared" si="14"/>
        <v>10592188.24</v>
      </c>
      <c r="H58" s="31">
        <f t="shared" si="14"/>
        <v>11450479.228799999</v>
      </c>
      <c r="I58" s="31">
        <f t="shared" si="14"/>
        <v>12470631.588544</v>
      </c>
      <c r="J58" s="31">
        <f t="shared" si="14"/>
        <v>13617218.961054724</v>
      </c>
      <c r="K58" s="31">
        <f t="shared" si="14"/>
        <v>14826106.564781288</v>
      </c>
    </row>
    <row r="59" spans="1:11">
      <c r="A59" s="24" t="s">
        <v>96</v>
      </c>
      <c r="B59" s="24">
        <f t="shared" ref="B59:K59" si="15">SUM(B43:B45)</f>
        <v>13565700</v>
      </c>
      <c r="C59" s="24">
        <f t="shared" si="15"/>
        <v>21568100</v>
      </c>
      <c r="D59" s="24">
        <f t="shared" si="15"/>
        <v>21636200</v>
      </c>
      <c r="E59" s="24">
        <f t="shared" si="15"/>
        <v>20959700</v>
      </c>
      <c r="F59" s="24">
        <f t="shared" si="15"/>
        <v>22142100</v>
      </c>
      <c r="G59" s="47">
        <f t="shared" si="15"/>
        <v>26421395.000000004</v>
      </c>
      <c r="H59" s="29">
        <f t="shared" si="15"/>
        <v>26498278.500000007</v>
      </c>
      <c r="I59" s="29">
        <f t="shared" si="15"/>
        <v>26615821.118000008</v>
      </c>
      <c r="J59" s="29">
        <f t="shared" si="15"/>
        <v>26773394.192040011</v>
      </c>
      <c r="K59" s="29">
        <f t="shared" si="15"/>
        <v>26970479.21528241</v>
      </c>
    </row>
    <row r="60" spans="1:11">
      <c r="A60" s="24" t="s">
        <v>97</v>
      </c>
      <c r="B60" s="24">
        <f>SUM(B49:B50)</f>
        <v>19281900</v>
      </c>
      <c r="C60" s="24">
        <f>SUM(C49:C50)</f>
        <v>29827100</v>
      </c>
      <c r="D60" s="24">
        <f>SUM(D49:D50)</f>
        <v>28555700</v>
      </c>
      <c r="E60" s="24">
        <f>SUM(E49:E50)</f>
        <v>27525300</v>
      </c>
      <c r="F60" s="24">
        <f>SUM(F49:F50)</f>
        <v>28088000</v>
      </c>
      <c r="G60" s="47">
        <f t="shared" ref="G60:K60" si="16">SUM(G49:G50)</f>
        <v>27823376</v>
      </c>
      <c r="H60" s="29">
        <f t="shared" si="16"/>
        <v>27569336.960000001</v>
      </c>
      <c r="I60" s="29">
        <f t="shared" si="16"/>
        <v>27325459.481600001</v>
      </c>
      <c r="J60" s="29">
        <f t="shared" si="16"/>
        <v>27091337.102336001</v>
      </c>
      <c r="K60" s="29">
        <f t="shared" si="16"/>
        <v>26866579.618242562</v>
      </c>
    </row>
    <row r="61" spans="1:11">
      <c r="A61" s="24" t="s">
        <v>98</v>
      </c>
      <c r="B61" s="24">
        <f>B57+B59</f>
        <v>19219600</v>
      </c>
      <c r="C61" s="24">
        <f t="shared" ref="C61:K61" si="17">C57+C59</f>
        <v>29374500</v>
      </c>
      <c r="D61" s="24">
        <f t="shared" si="17"/>
        <v>31392600</v>
      </c>
      <c r="E61" s="24">
        <f t="shared" si="17"/>
        <v>27978400</v>
      </c>
      <c r="F61" s="24">
        <f t="shared" si="17"/>
        <v>29445500</v>
      </c>
      <c r="G61" s="47">
        <f t="shared" si="17"/>
        <v>33857306.964000002</v>
      </c>
      <c r="H61" s="29">
        <f t="shared" si="17"/>
        <v>36076111.477280006</v>
      </c>
      <c r="I61" s="29">
        <f t="shared" si="17"/>
        <v>37868152.487222411</v>
      </c>
      <c r="J61" s="29">
        <f t="shared" si="17"/>
        <v>39998811.7481938</v>
      </c>
      <c r="K61" s="29">
        <f t="shared" si="17"/>
        <v>43015019.726343416</v>
      </c>
    </row>
    <row r="62" spans="1:11">
      <c r="A62" s="24" t="s">
        <v>99</v>
      </c>
      <c r="B62" s="24">
        <f>B61-B60-B58</f>
        <v>-6231000</v>
      </c>
      <c r="C62" s="24">
        <f t="shared" ref="C62:E62" si="18">C61-C60-C58</f>
        <v>-7799400</v>
      </c>
      <c r="D62" s="24">
        <f t="shared" si="18"/>
        <v>-5314500</v>
      </c>
      <c r="E62" s="24">
        <f t="shared" si="18"/>
        <v>-8698700</v>
      </c>
      <c r="F62" s="24">
        <f>F61-F60-F58</f>
        <v>-7987800</v>
      </c>
      <c r="G62" s="47">
        <f t="shared" ref="G62:K62" si="19">G61-G60-G58</f>
        <v>-4558257.2759999987</v>
      </c>
      <c r="H62" s="29">
        <f t="shared" si="19"/>
        <v>-2943704.7115199938</v>
      </c>
      <c r="I62" s="29">
        <f t="shared" si="19"/>
        <v>-1927938.5829215907</v>
      </c>
      <c r="J62" s="29">
        <f t="shared" si="19"/>
        <v>-709744.31519692391</v>
      </c>
      <c r="K62" s="29">
        <f t="shared" si="19"/>
        <v>1322333.5433195662</v>
      </c>
    </row>
    <row r="64" spans="1:11">
      <c r="A64" s="13" t="s">
        <v>100</v>
      </c>
    </row>
    <row r="65" spans="1:11">
      <c r="A65" s="32" t="s">
        <v>41</v>
      </c>
      <c r="B65" s="24">
        <v>26508600</v>
      </c>
      <c r="C65" s="24">
        <v>23518000</v>
      </c>
      <c r="D65" s="24">
        <v>29060600</v>
      </c>
      <c r="E65" s="24">
        <v>32250300</v>
      </c>
      <c r="F65" s="24">
        <v>35975600</v>
      </c>
      <c r="G65" s="29">
        <f>G22*F65+F65</f>
        <v>39932916</v>
      </c>
      <c r="H65" s="29">
        <f>H22*G65+G65</f>
        <v>44724865.920000002</v>
      </c>
      <c r="I65" s="29">
        <f>I22*H65+H65</f>
        <v>50539098.489600003</v>
      </c>
      <c r="J65" s="29">
        <f>J22*I65+I65</f>
        <v>57109181.293248005</v>
      </c>
      <c r="K65" s="29">
        <f>K22*J65+J65</f>
        <v>63962283.048437767</v>
      </c>
    </row>
    <row r="66" spans="1:11">
      <c r="A66" s="33" t="s">
        <v>101</v>
      </c>
      <c r="B66" s="24">
        <v>19020500</v>
      </c>
      <c r="C66" s="24">
        <v>18458900</v>
      </c>
      <c r="D66" s="24">
        <v>20652000</v>
      </c>
      <c r="E66" s="24">
        <v>23879200</v>
      </c>
      <c r="F66" s="24">
        <v>26129400</v>
      </c>
      <c r="G66" s="29">
        <f>G65*G23</f>
        <v>27953041.199999999</v>
      </c>
      <c r="H66" s="29">
        <f>H65*H23</f>
        <v>31307406.143999998</v>
      </c>
      <c r="I66" s="29">
        <f>I65*I23</f>
        <v>35377368.942719996</v>
      </c>
      <c r="J66" s="29">
        <f>J65*J23</f>
        <v>39976426.905273601</v>
      </c>
      <c r="K66" s="29">
        <f>K65*K23</f>
        <v>44773598.133906431</v>
      </c>
    </row>
    <row r="67" spans="1:11">
      <c r="A67" s="33" t="s">
        <v>102</v>
      </c>
      <c r="B67" s="24">
        <f>B65-B66</f>
        <v>7488100</v>
      </c>
      <c r="C67" s="24">
        <f t="shared" ref="C67:K67" si="20">C65-C66</f>
        <v>5059100</v>
      </c>
      <c r="D67" s="24">
        <f t="shared" si="20"/>
        <v>8408600</v>
      </c>
      <c r="E67" s="24">
        <f t="shared" si="20"/>
        <v>8371100</v>
      </c>
      <c r="F67" s="24">
        <f t="shared" si="20"/>
        <v>9846200</v>
      </c>
      <c r="G67" s="29">
        <f t="shared" si="20"/>
        <v>11979874.800000001</v>
      </c>
      <c r="H67" s="29">
        <f t="shared" si="20"/>
        <v>13417459.776000004</v>
      </c>
      <c r="I67" s="29">
        <f t="shared" si="20"/>
        <v>15161729.546880007</v>
      </c>
      <c r="J67" s="29">
        <f t="shared" si="20"/>
        <v>17132754.387974404</v>
      </c>
      <c r="K67" s="29">
        <f t="shared" si="20"/>
        <v>19188684.914531335</v>
      </c>
    </row>
    <row r="68" spans="1:11">
      <c r="A68" s="33" t="s">
        <v>103</v>
      </c>
      <c r="B68" s="24">
        <v>298000</v>
      </c>
      <c r="C68" s="24">
        <v>322500</v>
      </c>
      <c r="D68" s="24">
        <v>385300</v>
      </c>
      <c r="E68" s="24">
        <v>234100</v>
      </c>
      <c r="F68" s="24">
        <v>298400</v>
      </c>
      <c r="G68" s="29">
        <f>G65*G33</f>
        <v>399329.16000000003</v>
      </c>
      <c r="H68" s="29">
        <f t="shared" ref="H68:K68" si="21">H65*H33</f>
        <v>447248.65920000005</v>
      </c>
      <c r="I68" s="29">
        <f t="shared" si="21"/>
        <v>505390.98489600007</v>
      </c>
      <c r="J68" s="29">
        <f t="shared" si="21"/>
        <v>571091.81293248001</v>
      </c>
      <c r="K68" s="29">
        <f t="shared" si="21"/>
        <v>639622.83048437769</v>
      </c>
    </row>
    <row r="69" spans="1:11">
      <c r="A69" s="33" t="s">
        <v>104</v>
      </c>
      <c r="B69" s="24">
        <v>3215600</v>
      </c>
      <c r="C69" s="24">
        <v>3248400</v>
      </c>
      <c r="D69" s="24">
        <v>3576000</v>
      </c>
      <c r="E69" s="24">
        <v>3750200</v>
      </c>
      <c r="F69" s="24">
        <v>4343200</v>
      </c>
      <c r="G69" s="29">
        <f>G24*G65</f>
        <v>5191279.08</v>
      </c>
      <c r="H69" s="29">
        <f>H24*H65</f>
        <v>6261481.2288000006</v>
      </c>
      <c r="I69" s="29">
        <f>I24*I65</f>
        <v>6570082.8036480006</v>
      </c>
      <c r="J69" s="29">
        <f>J24*J65</f>
        <v>7995285.3810547218</v>
      </c>
      <c r="K69" s="29">
        <f>K24*K65</f>
        <v>8954719.6267812885</v>
      </c>
    </row>
    <row r="70" spans="1:11">
      <c r="A70" s="32" t="s">
        <v>105</v>
      </c>
      <c r="B70" s="24">
        <f>B67-B69+B68</f>
        <v>4570500</v>
      </c>
      <c r="C70" s="24">
        <f t="shared" ref="C70:E70" si="22">C67-C69+C68</f>
        <v>2133200</v>
      </c>
      <c r="D70" s="24">
        <f t="shared" si="22"/>
        <v>5217900</v>
      </c>
      <c r="E70" s="24">
        <f t="shared" si="22"/>
        <v>4855000</v>
      </c>
      <c r="F70" s="24">
        <f>F67-F69+F68</f>
        <v>5801400</v>
      </c>
      <c r="G70" s="29">
        <f>G67-G69+G68</f>
        <v>7187924.8800000008</v>
      </c>
      <c r="H70" s="29">
        <f t="shared" ref="H70:K70" si="23">H67-H69+H68</f>
        <v>7603227.2064000033</v>
      </c>
      <c r="I70" s="29">
        <f t="shared" si="23"/>
        <v>9097037.7281280067</v>
      </c>
      <c r="J70" s="29">
        <f t="shared" si="23"/>
        <v>9708560.8198521622</v>
      </c>
      <c r="K70" s="29">
        <f t="shared" si="23"/>
        <v>10873588.118234424</v>
      </c>
    </row>
    <row r="71" spans="1:11">
      <c r="A71" s="71"/>
      <c r="B71" s="16"/>
      <c r="C71" s="16"/>
      <c r="D71" s="16"/>
      <c r="E71" s="16"/>
      <c r="F71" s="16"/>
      <c r="G71" s="21"/>
      <c r="H71" s="21"/>
      <c r="I71" s="21"/>
      <c r="J71" s="21"/>
      <c r="K71" s="21"/>
    </row>
    <row r="72" spans="1:11">
      <c r="A72" s="13" t="s">
        <v>106</v>
      </c>
    </row>
    <row r="73" spans="1:11">
      <c r="A73" s="46" t="s">
        <v>49</v>
      </c>
      <c r="B73" s="39" t="s">
        <v>50</v>
      </c>
      <c r="C73" s="40" t="s">
        <v>51</v>
      </c>
      <c r="D73" s="40" t="s">
        <v>52</v>
      </c>
      <c r="E73" s="40" t="s">
        <v>53</v>
      </c>
      <c r="F73" s="40" t="s">
        <v>54</v>
      </c>
      <c r="G73" s="41" t="s">
        <v>55</v>
      </c>
      <c r="H73" s="41" t="s">
        <v>56</v>
      </c>
      <c r="I73" s="41" t="s">
        <v>57</v>
      </c>
      <c r="J73" s="41" t="s">
        <v>58</v>
      </c>
      <c r="K73" s="41" t="s">
        <v>59</v>
      </c>
    </row>
    <row r="74" spans="1:11">
      <c r="A74" s="24" t="s">
        <v>107</v>
      </c>
      <c r="B74" s="48">
        <f>B70</f>
        <v>4570500</v>
      </c>
      <c r="C74" s="48">
        <f t="shared" ref="C74:K74" si="24">C70</f>
        <v>2133200</v>
      </c>
      <c r="D74" s="48">
        <f t="shared" si="24"/>
        <v>5217900</v>
      </c>
      <c r="E74" s="48">
        <f t="shared" si="24"/>
        <v>4855000</v>
      </c>
      <c r="F74" s="48">
        <f t="shared" si="24"/>
        <v>5801400</v>
      </c>
      <c r="G74" s="29">
        <f t="shared" si="24"/>
        <v>7187924.8800000008</v>
      </c>
      <c r="H74" s="29">
        <f t="shared" si="24"/>
        <v>7603227.2064000033</v>
      </c>
      <c r="I74" s="29">
        <f t="shared" si="24"/>
        <v>9097037.7281280067</v>
      </c>
      <c r="J74" s="29">
        <f t="shared" si="24"/>
        <v>9708560.8198521622</v>
      </c>
      <c r="K74" s="29">
        <f t="shared" si="24"/>
        <v>10873588.118234424</v>
      </c>
    </row>
    <row r="75" spans="1:11">
      <c r="A75" s="24" t="s">
        <v>108</v>
      </c>
      <c r="B75" s="48">
        <f>B74*0.15</f>
        <v>685575</v>
      </c>
      <c r="C75" s="48">
        <f t="shared" ref="C75:F75" si="25">C74*0.15</f>
        <v>319980</v>
      </c>
      <c r="D75" s="48">
        <f t="shared" si="25"/>
        <v>782685</v>
      </c>
      <c r="E75" s="48">
        <f t="shared" si="25"/>
        <v>728250</v>
      </c>
      <c r="F75" s="48">
        <f t="shared" si="25"/>
        <v>870210</v>
      </c>
      <c r="G75" s="29">
        <f>G31*G74</f>
        <v>1437584.9760000003</v>
      </c>
      <c r="H75" s="29">
        <f>H31*H74</f>
        <v>1520645.4412800008</v>
      </c>
      <c r="I75" s="29">
        <f>I31*I74</f>
        <v>1819407.5456256014</v>
      </c>
      <c r="J75" s="29">
        <f>J31*J74</f>
        <v>1941712.1639704325</v>
      </c>
      <c r="K75" s="29">
        <f>K31*K74</f>
        <v>2174717.6236468847</v>
      </c>
    </row>
    <row r="76" spans="1:11">
      <c r="A76" s="24" t="s">
        <v>109</v>
      </c>
      <c r="B76" s="48">
        <f>B74-B75</f>
        <v>3884925</v>
      </c>
      <c r="C76" s="48">
        <f t="shared" ref="C76:F76" si="26">C74-C75</f>
        <v>1813220</v>
      </c>
      <c r="D76" s="48">
        <f t="shared" si="26"/>
        <v>4435215</v>
      </c>
      <c r="E76" s="48">
        <f t="shared" si="26"/>
        <v>4126750</v>
      </c>
      <c r="F76" s="48">
        <f t="shared" si="26"/>
        <v>4931190</v>
      </c>
      <c r="G76" s="29">
        <f>G74-G75</f>
        <v>5750339.904000001</v>
      </c>
      <c r="H76" s="29">
        <f t="shared" ref="H76:K76" si="27">H74-H75</f>
        <v>6082581.7651200024</v>
      </c>
      <c r="I76" s="29">
        <f t="shared" si="27"/>
        <v>7277630.1825024057</v>
      </c>
      <c r="J76" s="29">
        <f t="shared" si="27"/>
        <v>7766848.6558817299</v>
      </c>
      <c r="K76" s="29">
        <f t="shared" si="27"/>
        <v>8698870.4945875388</v>
      </c>
    </row>
    <row r="77" spans="1:11">
      <c r="A77" s="24" t="s">
        <v>110</v>
      </c>
      <c r="B77" s="48">
        <v>1377300</v>
      </c>
      <c r="C77" s="48">
        <v>1431300</v>
      </c>
      <c r="D77" s="48">
        <v>1441700</v>
      </c>
      <c r="E77" s="48">
        <v>1447900</v>
      </c>
      <c r="F77" s="48">
        <v>1362600</v>
      </c>
      <c r="G77" s="29">
        <f>G25*G41</f>
        <v>1414754.0000000002</v>
      </c>
      <c r="H77" s="29">
        <f>H25*H41</f>
        <v>1765612.9920000003</v>
      </c>
      <c r="I77" s="29">
        <f>I25*I41</f>
        <v>1836237.5116800005</v>
      </c>
      <c r="J77" s="29">
        <f>J25*J41</f>
        <v>1909687.0121472005</v>
      </c>
      <c r="K77" s="29">
        <f>K25*K41</f>
        <v>1986074.4926330885</v>
      </c>
    </row>
    <row r="78" spans="1:11">
      <c r="A78" s="24" t="s">
        <v>111</v>
      </c>
      <c r="B78" s="48">
        <f t="shared" ref="B78:K78" si="28">B55</f>
        <v>0</v>
      </c>
      <c r="C78" s="48">
        <f t="shared" si="28"/>
        <v>1974700</v>
      </c>
      <c r="D78" s="48">
        <f t="shared" si="28"/>
        <v>-1241900</v>
      </c>
      <c r="E78" s="48">
        <f t="shared" si="28"/>
        <v>646300</v>
      </c>
      <c r="F78" s="48">
        <f t="shared" si="28"/>
        <v>-417300</v>
      </c>
      <c r="G78" s="29">
        <f>G55</f>
        <v>-912307.87600000016</v>
      </c>
      <c r="H78" s="29">
        <f t="shared" si="28"/>
        <v>-292308.94511999935</v>
      </c>
      <c r="I78" s="29">
        <f t="shared" si="28"/>
        <v>-354668.18674559984</v>
      </c>
      <c r="J78" s="29">
        <f t="shared" si="28"/>
        <v>-400775.05102252867</v>
      </c>
      <c r="K78" s="29">
        <f t="shared" si="28"/>
        <v>-418039.20706657507</v>
      </c>
    </row>
    <row r="79" spans="1:11">
      <c r="A79" s="24" t="s">
        <v>112</v>
      </c>
      <c r="B79" s="48">
        <f t="shared" ref="B79:K79" si="29">B56</f>
        <v>0</v>
      </c>
      <c r="C79" s="48">
        <f t="shared" si="29"/>
        <v>9375100</v>
      </c>
      <c r="D79" s="48">
        <f t="shared" si="29"/>
        <v>1671700</v>
      </c>
      <c r="E79" s="48">
        <f t="shared" si="29"/>
        <v>1418500</v>
      </c>
      <c r="F79" s="48">
        <f t="shared" si="29"/>
        <v>2586200</v>
      </c>
      <c r="G79" s="29">
        <f>G56</f>
        <v>3197049.0000000037</v>
      </c>
      <c r="H79" s="29">
        <f t="shared" si="29"/>
        <v>1842496.492000004</v>
      </c>
      <c r="I79" s="29">
        <f t="shared" si="29"/>
        <v>1953780.1296800012</v>
      </c>
      <c r="J79" s="29">
        <f t="shared" si="29"/>
        <v>2067260.0861872036</v>
      </c>
      <c r="K79" s="29">
        <f t="shared" si="29"/>
        <v>2183159.5158754876</v>
      </c>
    </row>
    <row r="80" spans="1:11">
      <c r="A80" s="24" t="s">
        <v>106</v>
      </c>
      <c r="B80" s="48">
        <f>B76+B77-B78-B79</f>
        <v>5262225</v>
      </c>
      <c r="C80" s="48">
        <f t="shared" ref="C80:F80" si="30">C76+C77-C78-C79</f>
        <v>-8105280</v>
      </c>
      <c r="D80" s="48">
        <f t="shared" si="30"/>
        <v>5447115</v>
      </c>
      <c r="E80" s="48">
        <f t="shared" si="30"/>
        <v>3509850</v>
      </c>
      <c r="F80" s="48">
        <f t="shared" si="30"/>
        <v>4124890</v>
      </c>
      <c r="G80" s="29">
        <f>G76+G77-G78-G79</f>
        <v>4880352.7799999975</v>
      </c>
      <c r="H80" s="29">
        <f t="shared" ref="H80:K80" si="31">H76+H77-H78-H79</f>
        <v>6298007.2102399981</v>
      </c>
      <c r="I80" s="29">
        <f t="shared" si="31"/>
        <v>7514755.7512480048</v>
      </c>
      <c r="J80" s="29">
        <f t="shared" si="31"/>
        <v>8010050.6328642545</v>
      </c>
      <c r="K80" s="29">
        <f t="shared" si="31"/>
        <v>8919824.6784117147</v>
      </c>
    </row>
    <row r="81" spans="1:11">
      <c r="A81" s="34" t="s">
        <v>113</v>
      </c>
      <c r="B81" s="48"/>
      <c r="C81" s="48"/>
      <c r="D81" s="48"/>
      <c r="E81" s="48"/>
      <c r="F81" s="48"/>
      <c r="G81" s="29"/>
      <c r="H81" s="29"/>
      <c r="I81" s="29"/>
      <c r="J81" s="29"/>
      <c r="K81" s="29">
        <f>K80*(1+tgr)/(wacc-tgr)</f>
        <v>191989853.77885148</v>
      </c>
    </row>
    <row r="82" spans="1:11">
      <c r="A82" s="24" t="s">
        <v>114</v>
      </c>
      <c r="B82" s="35"/>
      <c r="C82" s="24"/>
      <c r="D82" s="24"/>
      <c r="E82" s="24"/>
      <c r="F82" s="24"/>
      <c r="G82" s="29">
        <f>G80/(1+wacc)^G20</f>
        <v>4527843.5361506566</v>
      </c>
      <c r="H82" s="29">
        <f>H80/(1+wacc)^H20</f>
        <v>5421051.6185089368</v>
      </c>
      <c r="I82" s="29">
        <f>I80/(1+wacc)^I20</f>
        <v>6001163.4164470285</v>
      </c>
      <c r="J82" s="29">
        <f>J80/(1+wacc)^J20</f>
        <v>5934662.6851319792</v>
      </c>
      <c r="K82" s="29">
        <f>K80/(1+wacc)^K20</f>
        <v>6131366.7023158204</v>
      </c>
    </row>
    <row r="83" spans="1:11">
      <c r="A83" s="24" t="s">
        <v>115</v>
      </c>
      <c r="B83" s="24"/>
      <c r="C83" s="24"/>
      <c r="D83" s="24"/>
      <c r="E83" s="24"/>
      <c r="F83" s="24"/>
      <c r="G83" s="29"/>
      <c r="H83" s="29"/>
      <c r="I83" s="29"/>
      <c r="J83" s="29"/>
      <c r="K83" s="29">
        <f>K81/(1+wacc)^K20</f>
        <v>131971225.79002765</v>
      </c>
    </row>
    <row r="84" spans="1:11">
      <c r="A84" s="24" t="s">
        <v>116</v>
      </c>
      <c r="B84" s="24">
        <f>SUM(G82:K83)</f>
        <v>159987313.74858207</v>
      </c>
    </row>
    <row r="85" spans="1:11">
      <c r="A85" s="24" t="s">
        <v>117</v>
      </c>
      <c r="B85" s="24">
        <f>F51</f>
        <v>24599800</v>
      </c>
    </row>
    <row r="86" spans="1:11">
      <c r="A86" s="24" t="s">
        <v>118</v>
      </c>
      <c r="B86" s="24">
        <f>B84-B85+F37</f>
        <v>139340513.74858207</v>
      </c>
    </row>
    <row r="87" spans="1:11">
      <c r="A87" s="45" t="s">
        <v>119</v>
      </c>
      <c r="B87" s="73">
        <v>1136600</v>
      </c>
    </row>
    <row r="88" spans="1:11">
      <c r="A88" s="24" t="s">
        <v>120</v>
      </c>
      <c r="B88" s="36">
        <f>B86/B87</f>
        <v>122.59415251502909</v>
      </c>
    </row>
    <row r="90" spans="1:11">
      <c r="G90" s="14">
        <f>G80/F80</f>
        <v>1.1831473760512394</v>
      </c>
      <c r="H90" s="14">
        <f>H80/G80</f>
        <v>1.2904819577899451</v>
      </c>
      <c r="I90" s="14">
        <f>I80/H80</f>
        <v>1.1931957999396512</v>
      </c>
      <c r="J90" s="14">
        <f>J80/I80</f>
        <v>1.0659096447058833</v>
      </c>
      <c r="K90" s="14">
        <f>K80/J80</f>
        <v>1.1135790630105094</v>
      </c>
    </row>
    <row r="91" spans="1:11">
      <c r="A91" s="14" t="s">
        <v>121</v>
      </c>
    </row>
    <row r="92" spans="1:11">
      <c r="A92" s="24" t="s">
        <v>116</v>
      </c>
      <c r="B92" s="24">
        <f>SUM(H82:K83 )</f>
        <v>155459470.21243143</v>
      </c>
    </row>
    <row r="93" spans="1:11">
      <c r="A93" s="24" t="s">
        <v>117</v>
      </c>
      <c r="B93" s="24">
        <f>G51</f>
        <v>24599800</v>
      </c>
    </row>
    <row r="94" spans="1:11">
      <c r="A94" s="24" t="s">
        <v>118</v>
      </c>
      <c r="B94" s="24">
        <f>B92-B93+G43</f>
        <v>148441665.21243143</v>
      </c>
      <c r="J94" s="14">
        <f>AVERAGE(G90:K90)</f>
        <v>1.1692627682994456</v>
      </c>
    </row>
    <row r="95" spans="1:11">
      <c r="A95" s="45" t="s">
        <v>119</v>
      </c>
      <c r="B95" s="73">
        <v>1136600</v>
      </c>
    </row>
    <row r="96" spans="1:11">
      <c r="A96" s="24" t="s">
        <v>120</v>
      </c>
      <c r="B96" s="36">
        <f>B94/B95</f>
        <v>130.60150027488248</v>
      </c>
    </row>
  </sheetData>
  <phoneticPr fontId="1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B6BEF-6FC7-E74E-ABCD-73D0F74073A2}">
  <dimension ref="A1:F5"/>
  <sheetViews>
    <sheetView showGridLines="0" zoomScale="119" workbookViewId="0">
      <selection activeCell="M9" sqref="M9"/>
    </sheetView>
  </sheetViews>
  <sheetFormatPr baseColWidth="10" defaultColWidth="8.83203125" defaultRowHeight="16"/>
  <cols>
    <col min="2" max="6" width="12.6640625" bestFit="1" customWidth="1"/>
  </cols>
  <sheetData>
    <row r="1" spans="1:6">
      <c r="A1" t="s">
        <v>122</v>
      </c>
    </row>
    <row r="2" spans="1:6">
      <c r="B2">
        <v>2024</v>
      </c>
      <c r="C2">
        <v>2025</v>
      </c>
      <c r="D2">
        <v>2026</v>
      </c>
      <c r="E2">
        <v>2027</v>
      </c>
      <c r="F2">
        <v>2028</v>
      </c>
    </row>
    <row r="3" spans="1:6">
      <c r="A3" t="s">
        <v>123</v>
      </c>
      <c r="B3">
        <v>4880352.7799999975</v>
      </c>
      <c r="C3">
        <v>6298007.2102399981</v>
      </c>
      <c r="D3">
        <v>7514755.7512480048</v>
      </c>
      <c r="E3">
        <v>8010050.6328642545</v>
      </c>
      <c r="F3">
        <v>8919824.6784117147</v>
      </c>
    </row>
    <row r="4" spans="1:6">
      <c r="A4" t="s">
        <v>124</v>
      </c>
      <c r="B4" s="69">
        <v>4732852.8199999975</v>
      </c>
      <c r="C4">
        <v>6028643.5027999971</v>
      </c>
      <c r="D4">
        <v>7066549.0618200013</v>
      </c>
      <c r="E4">
        <v>7391598.1419582767</v>
      </c>
      <c r="F4">
        <v>8077796.7789224675</v>
      </c>
    </row>
    <row r="5" spans="1:6">
      <c r="A5" t="s">
        <v>125</v>
      </c>
      <c r="B5">
        <v>4585352.8599999966</v>
      </c>
      <c r="C5">
        <v>5689116.5826799981</v>
      </c>
      <c r="D5">
        <v>6362432.5500230016</v>
      </c>
      <c r="E5">
        <v>6369864.5912688216</v>
      </c>
      <c r="F5">
        <v>6708619.8590232329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E96DC-A0B4-1C46-8DD6-EFCF84D2632A}">
  <dimension ref="A1:K25"/>
  <sheetViews>
    <sheetView showGridLines="0" workbookViewId="0"/>
  </sheetViews>
  <sheetFormatPr baseColWidth="10" defaultColWidth="11" defaultRowHeight="16"/>
  <cols>
    <col min="1" max="1" width="25" bestFit="1" customWidth="1"/>
    <col min="2" max="2" width="14.6640625" bestFit="1" customWidth="1"/>
    <col min="3" max="4" width="13.1640625" bestFit="1" customWidth="1"/>
    <col min="5" max="10" width="12.6640625" bestFit="1" customWidth="1"/>
    <col min="11" max="11" width="14.6640625" bestFit="1" customWidth="1"/>
  </cols>
  <sheetData>
    <row r="1" spans="1:11">
      <c r="A1" s="13" t="s">
        <v>106</v>
      </c>
      <c r="B1" s="14"/>
      <c r="C1" s="14"/>
      <c r="D1" s="14"/>
      <c r="E1" s="14"/>
      <c r="F1" s="14"/>
      <c r="G1" s="14"/>
      <c r="H1" s="14"/>
      <c r="I1" s="14"/>
      <c r="J1" s="14"/>
      <c r="K1" s="14"/>
    </row>
    <row r="2" spans="1:11">
      <c r="A2" s="176" t="s">
        <v>49</v>
      </c>
      <c r="B2" s="174" t="s">
        <v>50</v>
      </c>
      <c r="C2" s="175" t="s">
        <v>51</v>
      </c>
      <c r="D2" s="175" t="s">
        <v>52</v>
      </c>
      <c r="E2" s="175" t="s">
        <v>53</v>
      </c>
      <c r="F2" s="175" t="s">
        <v>54</v>
      </c>
      <c r="G2" s="177" t="s">
        <v>55</v>
      </c>
      <c r="H2" s="177" t="s">
        <v>56</v>
      </c>
      <c r="I2" s="177" t="s">
        <v>57</v>
      </c>
      <c r="J2" s="177" t="s">
        <v>58</v>
      </c>
      <c r="K2" s="177" t="s">
        <v>59</v>
      </c>
    </row>
    <row r="3" spans="1:11">
      <c r="A3" s="24" t="s">
        <v>107</v>
      </c>
      <c r="B3" s="24">
        <v>4570500</v>
      </c>
      <c r="C3" s="24">
        <v>2133200</v>
      </c>
      <c r="D3" s="24">
        <v>5217900</v>
      </c>
      <c r="E3" s="24">
        <v>4855000</v>
      </c>
      <c r="F3" s="24">
        <v>5801400</v>
      </c>
      <c r="G3" s="180">
        <v>7058412.7200000025</v>
      </c>
      <c r="H3" s="180">
        <v>7332906.5480000004</v>
      </c>
      <c r="I3" s="180">
        <v>8618321.9311200008</v>
      </c>
      <c r="J3" s="180">
        <v>9034874.1577907987</v>
      </c>
      <c r="K3" s="180">
        <v>9938361.5735698789</v>
      </c>
    </row>
    <row r="4" spans="1:11">
      <c r="A4" s="24" t="s">
        <v>108</v>
      </c>
      <c r="B4" s="24">
        <v>685575</v>
      </c>
      <c r="C4" s="24">
        <v>319980</v>
      </c>
      <c r="D4" s="24">
        <v>782685</v>
      </c>
      <c r="E4" s="24">
        <v>728250</v>
      </c>
      <c r="F4" s="24">
        <v>870210</v>
      </c>
      <c r="G4" s="180">
        <v>1411682.5440000007</v>
      </c>
      <c r="H4" s="180">
        <v>1466581.3096000003</v>
      </c>
      <c r="I4" s="180">
        <v>1723664.3862240002</v>
      </c>
      <c r="J4" s="180">
        <v>1806974.8315581598</v>
      </c>
      <c r="K4" s="180">
        <v>1987672.3147139759</v>
      </c>
    </row>
    <row r="5" spans="1:11">
      <c r="A5" s="24" t="s">
        <v>109</v>
      </c>
      <c r="B5" s="24">
        <v>3884925</v>
      </c>
      <c r="C5" s="24">
        <v>1813220</v>
      </c>
      <c r="D5" s="24">
        <v>4435215</v>
      </c>
      <c r="E5" s="24">
        <v>4126750</v>
      </c>
      <c r="F5" s="24">
        <v>4931190</v>
      </c>
      <c r="G5" s="180">
        <v>5646730.1760000018</v>
      </c>
      <c r="H5" s="180">
        <v>5866325.2384000001</v>
      </c>
      <c r="I5" s="180">
        <v>6894657.544896001</v>
      </c>
      <c r="J5" s="180">
        <v>7227899.3262326391</v>
      </c>
      <c r="K5" s="180">
        <v>7950689.2588559035</v>
      </c>
    </row>
    <row r="6" spans="1:11">
      <c r="A6" s="24" t="s">
        <v>110</v>
      </c>
      <c r="B6" s="24">
        <v>1377300</v>
      </c>
      <c r="C6" s="24">
        <v>1431300</v>
      </c>
      <c r="D6" s="24">
        <v>1441700</v>
      </c>
      <c r="E6" s="24">
        <v>1447900</v>
      </c>
      <c r="F6" s="24">
        <v>1362600</v>
      </c>
      <c r="G6" s="180">
        <v>1337585.6000000001</v>
      </c>
      <c r="H6" s="180">
        <v>1669306.8288</v>
      </c>
      <c r="I6" s="180">
        <v>1736079.1019520001</v>
      </c>
      <c r="J6" s="180">
        <v>1805522.2660300799</v>
      </c>
      <c r="K6" s="180">
        <v>1877743.1566712833</v>
      </c>
    </row>
    <row r="7" spans="1:11">
      <c r="A7" s="24" t="s">
        <v>111</v>
      </c>
      <c r="B7" s="24">
        <v>0</v>
      </c>
      <c r="C7" s="24">
        <v>1974700</v>
      </c>
      <c r="D7" s="24">
        <v>-1241900</v>
      </c>
      <c r="E7" s="24">
        <v>646300</v>
      </c>
      <c r="F7" s="24">
        <v>-417300</v>
      </c>
      <c r="G7" s="180">
        <v>-868417.64399999939</v>
      </c>
      <c r="H7" s="180">
        <v>-239201.76440000068</v>
      </c>
      <c r="I7" s="180">
        <v>-289434.13492399966</v>
      </c>
      <c r="J7" s="180">
        <v>-321271.88976564026</v>
      </c>
      <c r="K7" s="180">
        <v>-324192.543308964</v>
      </c>
    </row>
    <row r="8" spans="1:11">
      <c r="A8" s="24" t="s">
        <v>112</v>
      </c>
      <c r="B8" s="24">
        <v>0</v>
      </c>
      <c r="C8" s="24">
        <v>9375100</v>
      </c>
      <c r="D8" s="24">
        <v>1671700</v>
      </c>
      <c r="E8" s="24">
        <v>1418500</v>
      </c>
      <c r="F8" s="24">
        <v>2586200</v>
      </c>
      <c r="G8" s="180">
        <v>1576512.6</v>
      </c>
      <c r="H8" s="180">
        <v>1777057.6888000013</v>
      </c>
      <c r="I8" s="180">
        <v>1880167.6495519993</v>
      </c>
      <c r="J8" s="180">
        <v>1985480.3495420788</v>
      </c>
      <c r="K8" s="180">
        <v>2093199.1978912852</v>
      </c>
    </row>
    <row r="9" spans="1:11">
      <c r="A9" s="24" t="s">
        <v>106</v>
      </c>
      <c r="B9" s="24">
        <v>5262225</v>
      </c>
      <c r="C9" s="24">
        <v>-8105280</v>
      </c>
      <c r="D9" s="24">
        <v>5447115</v>
      </c>
      <c r="E9" s="24">
        <v>3509850</v>
      </c>
      <c r="F9" s="24">
        <v>4124890</v>
      </c>
      <c r="G9" s="180">
        <v>6276220.8200000022</v>
      </c>
      <c r="H9" s="180">
        <v>5997776.1427999996</v>
      </c>
      <c r="I9" s="180">
        <v>7040003.1322200019</v>
      </c>
      <c r="J9" s="180">
        <v>7369213.132486281</v>
      </c>
      <c r="K9" s="180">
        <v>8059425.7609448656</v>
      </c>
    </row>
    <row r="10" spans="1:11">
      <c r="A10" s="34" t="s">
        <v>113</v>
      </c>
      <c r="B10" s="24"/>
      <c r="C10" s="24"/>
      <c r="D10" s="24"/>
      <c r="E10" s="24"/>
      <c r="F10" s="24"/>
      <c r="G10" s="180"/>
      <c r="H10" s="180"/>
      <c r="I10" s="180"/>
      <c r="J10" s="180"/>
      <c r="K10" s="180">
        <v>153536733.46226582</v>
      </c>
    </row>
    <row r="11" spans="1:11">
      <c r="A11" s="24" t="s">
        <v>114</v>
      </c>
      <c r="B11" s="35"/>
      <c r="C11" s="24"/>
      <c r="D11" s="24"/>
      <c r="E11" s="24"/>
      <c r="F11" s="24"/>
      <c r="G11" s="180">
        <v>5817757.4650820894</v>
      </c>
      <c r="H11" s="180">
        <v>5153532.8197595309</v>
      </c>
      <c r="I11" s="180">
        <v>5607187.0376925189</v>
      </c>
      <c r="J11" s="180">
        <v>5440648.9538218025</v>
      </c>
      <c r="K11" s="180">
        <v>5515578.6717776414</v>
      </c>
    </row>
    <row r="12" spans="1:11">
      <c r="A12" s="24" t="s">
        <v>115</v>
      </c>
      <c r="B12" s="24"/>
      <c r="C12" s="24"/>
      <c r="D12" s="24"/>
      <c r="E12" s="24"/>
      <c r="F12" s="24"/>
      <c r="G12" s="180"/>
      <c r="H12" s="180"/>
      <c r="I12" s="180"/>
      <c r="J12" s="180"/>
      <c r="K12" s="180">
        <v>105074971.53489508</v>
      </c>
    </row>
    <row r="13" spans="1:11">
      <c r="A13" s="24" t="s">
        <v>116</v>
      </c>
      <c r="B13" s="24">
        <v>132609676.48302865</v>
      </c>
      <c r="C13" s="14"/>
      <c r="D13" s="14"/>
      <c r="E13" s="14"/>
      <c r="F13" s="14"/>
      <c r="G13" s="14"/>
      <c r="H13" s="14"/>
      <c r="I13" s="14"/>
      <c r="J13" s="14"/>
      <c r="K13" s="14"/>
    </row>
    <row r="14" spans="1:11">
      <c r="A14" s="24" t="s">
        <v>117</v>
      </c>
      <c r="B14" s="24">
        <v>24599800</v>
      </c>
      <c r="C14" s="14"/>
      <c r="D14" s="14"/>
      <c r="E14" s="14"/>
      <c r="F14" s="14"/>
      <c r="G14" s="14"/>
      <c r="H14" s="14"/>
      <c r="I14" s="14"/>
      <c r="J14" s="14"/>
      <c r="K14" s="14"/>
    </row>
    <row r="15" spans="1:11">
      <c r="A15" s="24" t="s">
        <v>118</v>
      </c>
      <c r="B15" s="24">
        <v>111962876.48302865</v>
      </c>
      <c r="C15" s="14"/>
      <c r="D15" s="14"/>
      <c r="E15" s="14"/>
      <c r="F15" s="14"/>
      <c r="G15" s="14"/>
      <c r="H15" s="14"/>
      <c r="I15" s="14"/>
      <c r="J15" s="14"/>
      <c r="K15" s="14"/>
    </row>
    <row r="16" spans="1:11">
      <c r="A16" s="45" t="s">
        <v>119</v>
      </c>
      <c r="B16" s="73">
        <v>1136600</v>
      </c>
      <c r="C16" s="14"/>
      <c r="D16" s="14"/>
      <c r="E16" s="14"/>
      <c r="F16" s="14"/>
      <c r="G16" s="14"/>
      <c r="H16" s="14"/>
      <c r="I16" s="14"/>
      <c r="J16" s="14"/>
      <c r="K16" s="14"/>
    </row>
    <row r="17" spans="1:11">
      <c r="A17" s="24" t="s">
        <v>120</v>
      </c>
      <c r="B17" s="178">
        <v>98.506841881953761</v>
      </c>
      <c r="C17" s="14"/>
      <c r="D17" s="14"/>
      <c r="E17" s="14"/>
      <c r="F17" s="14"/>
      <c r="G17" s="14"/>
      <c r="H17" s="14"/>
      <c r="I17" s="14"/>
      <c r="J17" s="14"/>
      <c r="K17" s="14"/>
    </row>
    <row r="18" spans="1:11">
      <c r="A18" s="14"/>
      <c r="B18" s="14"/>
      <c r="C18" s="14"/>
      <c r="D18" s="14"/>
      <c r="E18" s="14"/>
      <c r="F18" s="14"/>
      <c r="G18" s="14"/>
      <c r="H18" s="14"/>
      <c r="I18" s="14"/>
      <c r="J18" s="14"/>
      <c r="K18" s="14"/>
    </row>
    <row r="19" spans="1:11">
      <c r="A19" s="14"/>
      <c r="B19" s="14"/>
      <c r="C19" s="14"/>
      <c r="D19" s="14"/>
      <c r="E19" s="14"/>
      <c r="F19" s="14"/>
      <c r="G19" s="14"/>
      <c r="H19" s="14"/>
      <c r="I19" s="14"/>
      <c r="J19" s="14"/>
      <c r="K19" s="14"/>
    </row>
    <row r="20" spans="1:11">
      <c r="A20" s="179" t="s">
        <v>126</v>
      </c>
      <c r="B20" s="14"/>
      <c r="C20" s="14"/>
      <c r="D20" s="14"/>
      <c r="E20" s="14"/>
      <c r="F20" s="14"/>
      <c r="G20" s="14"/>
      <c r="H20" s="14"/>
      <c r="I20" s="14"/>
      <c r="J20" s="14"/>
      <c r="K20" s="14"/>
    </row>
    <row r="21" spans="1:11">
      <c r="A21" s="24" t="s">
        <v>116</v>
      </c>
      <c r="B21" s="24">
        <v>126791919.01794657</v>
      </c>
      <c r="C21" s="14"/>
      <c r="D21" s="14"/>
      <c r="E21" s="14"/>
      <c r="F21" s="14"/>
      <c r="G21" s="14"/>
      <c r="H21" s="14"/>
      <c r="I21" s="14"/>
      <c r="J21" s="14"/>
      <c r="K21" s="14"/>
    </row>
    <row r="22" spans="1:11">
      <c r="A22" s="24" t="s">
        <v>117</v>
      </c>
      <c r="B22" s="24">
        <v>24599800</v>
      </c>
      <c r="C22" s="14"/>
      <c r="D22" s="14"/>
      <c r="E22" s="14"/>
      <c r="F22" s="14"/>
      <c r="G22" s="14"/>
      <c r="H22" s="14"/>
      <c r="I22" s="14"/>
      <c r="J22" s="14"/>
      <c r="K22" s="14"/>
    </row>
    <row r="23" spans="1:11">
      <c r="A23" s="24" t="s">
        <v>118</v>
      </c>
      <c r="B23" s="24">
        <v>118230746.01794657</v>
      </c>
      <c r="C23" s="14"/>
      <c r="D23" s="14"/>
      <c r="E23" s="14"/>
      <c r="F23" s="14"/>
      <c r="G23" s="14"/>
      <c r="H23" s="14"/>
      <c r="I23" s="14"/>
      <c r="J23" s="14"/>
      <c r="K23" s="14"/>
    </row>
    <row r="24" spans="1:11">
      <c r="A24" s="45" t="s">
        <v>119</v>
      </c>
      <c r="B24" s="73">
        <v>1136600</v>
      </c>
      <c r="C24" s="14"/>
      <c r="D24" s="14"/>
      <c r="E24" s="14"/>
      <c r="F24" s="14"/>
      <c r="G24" s="14"/>
      <c r="H24" s="14"/>
      <c r="I24" s="14"/>
      <c r="J24" s="14"/>
      <c r="K24" s="14"/>
    </row>
    <row r="25" spans="1:11">
      <c r="A25" s="24" t="s">
        <v>120</v>
      </c>
      <c r="B25" s="178">
        <v>104.02142004042457</v>
      </c>
      <c r="C25" s="14"/>
      <c r="D25" s="14"/>
      <c r="E25" s="14"/>
      <c r="F25" s="14"/>
      <c r="G25" s="14"/>
      <c r="H25" s="14"/>
      <c r="I25" s="14"/>
      <c r="J25" s="14"/>
      <c r="K25" s="1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54B6D-A25B-3A41-9D24-367DB885EF37}">
  <dimension ref="B1:K38"/>
  <sheetViews>
    <sheetView showGridLines="0" topLeftCell="B1" zoomScale="189" workbookViewId="0">
      <selection activeCell="H13" sqref="H13"/>
    </sheetView>
  </sheetViews>
  <sheetFormatPr baseColWidth="10" defaultColWidth="11" defaultRowHeight="16"/>
  <cols>
    <col min="2" max="2" width="21.83203125" customWidth="1"/>
    <col min="3" max="3" width="14.6640625" bestFit="1" customWidth="1"/>
    <col min="6" max="6" width="21.5" bestFit="1" customWidth="1"/>
    <col min="7" max="9" width="17.5" bestFit="1" customWidth="1"/>
    <col min="10" max="10" width="14.33203125" bestFit="1" customWidth="1"/>
    <col min="11" max="11" width="9.83203125" customWidth="1"/>
  </cols>
  <sheetData>
    <row r="1" spans="2:11">
      <c r="B1" s="184" t="s">
        <v>127</v>
      </c>
    </row>
    <row r="2" spans="2:11">
      <c r="B2" s="181" t="s">
        <v>32</v>
      </c>
      <c r="C2" s="185">
        <v>45351</v>
      </c>
      <c r="F2" s="275" t="s">
        <v>38</v>
      </c>
      <c r="G2" s="276"/>
      <c r="H2" s="277" t="s">
        <v>39</v>
      </c>
      <c r="I2" s="276"/>
      <c r="J2" s="277" t="s">
        <v>40</v>
      </c>
      <c r="K2" s="278"/>
    </row>
    <row r="3" spans="2:11">
      <c r="B3" s="182" t="s">
        <v>30</v>
      </c>
      <c r="C3" s="186" t="s">
        <v>128</v>
      </c>
      <c r="F3" s="279" t="s">
        <v>42</v>
      </c>
      <c r="G3" s="280">
        <v>7.0000000000000007E-2</v>
      </c>
      <c r="H3" s="281" t="s">
        <v>42</v>
      </c>
      <c r="I3" s="280">
        <v>0.09</v>
      </c>
      <c r="J3" s="281" t="s">
        <v>42</v>
      </c>
      <c r="K3" s="282">
        <v>0.11</v>
      </c>
    </row>
    <row r="4" spans="2:11">
      <c r="B4" s="182" t="s">
        <v>129</v>
      </c>
      <c r="C4" s="187" t="s">
        <v>130</v>
      </c>
      <c r="F4" s="283" t="s">
        <v>44</v>
      </c>
      <c r="G4" s="280">
        <v>7.0000000000000007E-2</v>
      </c>
      <c r="H4" s="281" t="s">
        <v>44</v>
      </c>
      <c r="I4" s="280">
        <v>0.1</v>
      </c>
      <c r="J4" s="281" t="s">
        <v>44</v>
      </c>
      <c r="K4" s="282">
        <v>0.12</v>
      </c>
    </row>
    <row r="5" spans="2:11">
      <c r="B5" s="182" t="s">
        <v>131</v>
      </c>
      <c r="C5" s="188">
        <v>105294600000</v>
      </c>
      <c r="F5" s="283" t="s">
        <v>46</v>
      </c>
      <c r="G5" s="280">
        <v>6.5000000000000002E-2</v>
      </c>
      <c r="H5" s="281" t="s">
        <v>46</v>
      </c>
      <c r="I5" s="280">
        <v>0.11</v>
      </c>
      <c r="J5" s="281" t="s">
        <v>46</v>
      </c>
      <c r="K5" s="282">
        <v>0.13</v>
      </c>
    </row>
    <row r="6" spans="2:11">
      <c r="B6" s="182" t="s">
        <v>132</v>
      </c>
      <c r="C6" s="189">
        <v>1136600000</v>
      </c>
      <c r="F6" s="283" t="s">
        <v>47</v>
      </c>
      <c r="G6" s="280">
        <v>0.06</v>
      </c>
      <c r="H6" s="281" t="s">
        <v>47</v>
      </c>
      <c r="I6" s="280">
        <v>0.1</v>
      </c>
      <c r="J6" s="281" t="s">
        <v>47</v>
      </c>
      <c r="K6" s="282">
        <v>0.12</v>
      </c>
    </row>
    <row r="7" spans="2:11">
      <c r="B7" s="182" t="s">
        <v>133</v>
      </c>
      <c r="C7" s="190">
        <v>115.48</v>
      </c>
      <c r="F7" s="283" t="s">
        <v>43</v>
      </c>
      <c r="G7" s="284">
        <v>8.0485630598429656E-2</v>
      </c>
      <c r="H7" s="285" t="s">
        <v>43</v>
      </c>
      <c r="I7" s="286">
        <v>7.8804136760527999E-2</v>
      </c>
      <c r="J7" s="281" t="s">
        <v>43</v>
      </c>
      <c r="K7" s="287">
        <v>7.7853671628641555E-2</v>
      </c>
    </row>
    <row r="8" spans="2:11">
      <c r="B8" s="182" t="s">
        <v>134</v>
      </c>
      <c r="C8" s="191">
        <v>89.21</v>
      </c>
      <c r="F8" s="288" t="s">
        <v>48</v>
      </c>
      <c r="G8" s="289">
        <v>0.02</v>
      </c>
      <c r="H8" s="290" t="s">
        <v>48</v>
      </c>
      <c r="I8" s="291">
        <v>2.5000000000000001E-2</v>
      </c>
      <c r="J8" s="292" t="s">
        <v>48</v>
      </c>
      <c r="K8" s="293">
        <v>0.03</v>
      </c>
    </row>
    <row r="9" spans="2:11">
      <c r="B9" s="182" t="s">
        <v>135</v>
      </c>
      <c r="C9" s="186">
        <v>0.94</v>
      </c>
    </row>
    <row r="10" spans="2:11">
      <c r="B10" s="182" t="s">
        <v>136</v>
      </c>
      <c r="C10" s="191">
        <v>2.16</v>
      </c>
    </row>
    <row r="11" spans="2:11">
      <c r="B11" s="182" t="s">
        <v>33</v>
      </c>
      <c r="C11" s="190">
        <v>93</v>
      </c>
      <c r="F11" s="324" t="s">
        <v>137</v>
      </c>
      <c r="G11" s="325" t="s">
        <v>123</v>
      </c>
      <c r="H11" s="326" t="s">
        <v>124</v>
      </c>
      <c r="I11" s="327" t="s">
        <v>125</v>
      </c>
    </row>
    <row r="12" spans="2:11">
      <c r="B12" s="182" t="s">
        <v>31</v>
      </c>
      <c r="C12" s="191">
        <v>98.51</v>
      </c>
      <c r="F12" s="324"/>
      <c r="G12" s="325"/>
      <c r="H12" s="326"/>
      <c r="I12" s="327"/>
    </row>
    <row r="13" spans="2:11">
      <c r="B13" s="182" t="s">
        <v>138</v>
      </c>
      <c r="C13" s="192">
        <v>0.06</v>
      </c>
      <c r="F13" t="s">
        <v>139</v>
      </c>
      <c r="G13" s="89">
        <v>0.12</v>
      </c>
      <c r="H13" s="89">
        <v>0.1</v>
      </c>
      <c r="I13" s="75">
        <v>6.5000000000000002E-2</v>
      </c>
    </row>
    <row r="14" spans="2:11">
      <c r="B14" s="182" t="s">
        <v>140</v>
      </c>
      <c r="C14" s="191">
        <v>104.02</v>
      </c>
      <c r="F14" s="296" t="s">
        <v>141</v>
      </c>
      <c r="G14" s="297">
        <v>0.18</v>
      </c>
      <c r="H14" s="297">
        <v>0.16</v>
      </c>
      <c r="I14" s="297">
        <v>0.12</v>
      </c>
    </row>
    <row r="15" spans="2:11">
      <c r="B15" s="182" t="s">
        <v>142</v>
      </c>
      <c r="C15" s="186">
        <v>1.1299999999999999</v>
      </c>
      <c r="F15" t="s">
        <v>143</v>
      </c>
      <c r="G15" s="86">
        <v>0.03</v>
      </c>
      <c r="H15" s="294">
        <v>2.5000000000000001E-2</v>
      </c>
      <c r="I15" s="86">
        <v>0.02</v>
      </c>
    </row>
    <row r="16" spans="2:11">
      <c r="B16" s="183" t="s">
        <v>21</v>
      </c>
      <c r="C16" s="193" t="s">
        <v>144</v>
      </c>
      <c r="F16" s="296" t="s">
        <v>43</v>
      </c>
      <c r="G16" s="298">
        <v>7.7899999999999997E-2</v>
      </c>
      <c r="H16" s="298">
        <v>7.8799999999999995E-2</v>
      </c>
      <c r="I16" s="298">
        <v>8.0500000000000002E-2</v>
      </c>
    </row>
    <row r="17" spans="6:10">
      <c r="F17" t="s">
        <v>31</v>
      </c>
      <c r="G17" s="295">
        <v>123.55</v>
      </c>
      <c r="H17" s="295">
        <v>98.51</v>
      </c>
      <c r="I17" s="295">
        <v>71.010000000000005</v>
      </c>
    </row>
    <row r="18" spans="6:10">
      <c r="F18" s="296" t="s">
        <v>145</v>
      </c>
      <c r="G18" s="299">
        <v>129.94</v>
      </c>
      <c r="H18" s="299">
        <v>104.02</v>
      </c>
      <c r="I18" s="299">
        <v>76.650000000000006</v>
      </c>
    </row>
    <row r="19" spans="6:10">
      <c r="F19" t="s">
        <v>146</v>
      </c>
      <c r="G19" s="86">
        <f>G17/93-1</f>
        <v>0.32849462365591386</v>
      </c>
      <c r="H19" s="86">
        <f>H17/93-1</f>
        <v>5.9247311827957061E-2</v>
      </c>
      <c r="I19" s="86">
        <f>I17/93-1</f>
        <v>-0.23645161290322581</v>
      </c>
    </row>
    <row r="22" spans="6:10">
      <c r="F22" s="324" t="s">
        <v>43</v>
      </c>
      <c r="G22" s="325" t="s">
        <v>123</v>
      </c>
      <c r="H22" s="326" t="s">
        <v>124</v>
      </c>
      <c r="I22" s="327" t="s">
        <v>125</v>
      </c>
    </row>
    <row r="23" spans="6:10">
      <c r="F23" s="324"/>
      <c r="G23" s="325"/>
      <c r="H23" s="326"/>
      <c r="I23" s="327"/>
    </row>
    <row r="24" spans="6:10">
      <c r="F24" s="305" t="s">
        <v>147</v>
      </c>
      <c r="G24" s="315">
        <v>0.1849055696114997</v>
      </c>
      <c r="H24" s="301">
        <v>0.1849055696114997</v>
      </c>
      <c r="I24" s="302">
        <v>0.1849055696114997</v>
      </c>
    </row>
    <row r="25" spans="6:10">
      <c r="F25" s="306" t="s">
        <v>148</v>
      </c>
      <c r="G25" s="311">
        <v>0.81509443038850027</v>
      </c>
      <c r="H25" s="307">
        <v>0.81509443038850027</v>
      </c>
      <c r="I25" s="308">
        <v>0.81509443038850027</v>
      </c>
    </row>
    <row r="26" spans="6:10">
      <c r="F26" s="305" t="s">
        <v>149</v>
      </c>
      <c r="G26" s="318">
        <v>0.03</v>
      </c>
      <c r="H26" s="273">
        <v>3.5000000000000003E-2</v>
      </c>
      <c r="I26" s="274">
        <v>4.3400000000000001E-2</v>
      </c>
    </row>
    <row r="27" spans="6:10">
      <c r="F27" s="306" t="s">
        <v>135</v>
      </c>
      <c r="G27" s="321">
        <v>0.94</v>
      </c>
      <c r="H27" s="322">
        <v>0.94</v>
      </c>
      <c r="I27" s="323">
        <v>0.94</v>
      </c>
    </row>
    <row r="28" spans="6:10">
      <c r="F28" s="305" t="s">
        <v>150</v>
      </c>
      <c r="G28" s="318">
        <v>9.3799999999999994E-2</v>
      </c>
      <c r="H28" s="273">
        <v>9.3799999999999994E-2</v>
      </c>
      <c r="I28" s="274">
        <v>9.3799999999999994E-2</v>
      </c>
      <c r="J28" t="s">
        <v>151</v>
      </c>
    </row>
    <row r="29" spans="6:10">
      <c r="F29" s="306" t="s">
        <v>152</v>
      </c>
      <c r="G29" s="311">
        <v>0.23643532831040931</v>
      </c>
      <c r="H29" s="307">
        <v>0.23643532831040931</v>
      </c>
      <c r="I29" s="308">
        <v>0.23643532831040931</v>
      </c>
    </row>
    <row r="30" spans="6:10">
      <c r="F30" s="305" t="s">
        <v>153</v>
      </c>
      <c r="G30" s="316">
        <v>108440000</v>
      </c>
      <c r="H30" s="303">
        <v>108440000</v>
      </c>
      <c r="I30" s="304">
        <v>108440000</v>
      </c>
    </row>
    <row r="31" spans="6:10">
      <c r="F31" s="306" t="s">
        <v>84</v>
      </c>
      <c r="G31" s="317">
        <v>3127400</v>
      </c>
      <c r="H31" s="309">
        <v>3127400</v>
      </c>
      <c r="I31" s="310">
        <v>3127400</v>
      </c>
    </row>
    <row r="32" spans="6:10">
      <c r="F32" s="305" t="s">
        <v>154</v>
      </c>
      <c r="G32" s="316">
        <v>21472400</v>
      </c>
      <c r="H32" s="303">
        <v>21472400</v>
      </c>
      <c r="I32" s="304">
        <v>21472400</v>
      </c>
    </row>
    <row r="33" spans="6:9">
      <c r="F33" s="306" t="s">
        <v>88</v>
      </c>
      <c r="G33" s="317">
        <v>24599800</v>
      </c>
      <c r="H33" s="309">
        <v>24599800</v>
      </c>
      <c r="I33" s="310">
        <v>24599800</v>
      </c>
    </row>
    <row r="34" spans="6:9">
      <c r="F34" s="305" t="s">
        <v>155</v>
      </c>
      <c r="G34" s="315">
        <v>0</v>
      </c>
      <c r="H34" s="301">
        <v>0</v>
      </c>
      <c r="I34" s="302">
        <v>0</v>
      </c>
    </row>
    <row r="35" spans="6:9">
      <c r="F35" s="306" t="s">
        <v>156</v>
      </c>
      <c r="G35" s="317">
        <v>133039800</v>
      </c>
      <c r="H35" s="309">
        <v>133039800</v>
      </c>
      <c r="I35" s="310">
        <v>133039800</v>
      </c>
    </row>
    <row r="36" spans="6:9">
      <c r="F36" s="305" t="s">
        <v>157</v>
      </c>
      <c r="G36" s="318">
        <v>8.9971999999999996E-2</v>
      </c>
      <c r="H36" s="273">
        <v>9.0271999999999991E-2</v>
      </c>
      <c r="I36" s="274">
        <v>9.0775999999999996E-2</v>
      </c>
    </row>
    <row r="37" spans="6:9">
      <c r="F37" s="306" t="s">
        <v>158</v>
      </c>
      <c r="G37" s="319">
        <v>3.2000000000000001E-2</v>
      </c>
      <c r="H37" s="319">
        <v>3.6999999999999998E-2</v>
      </c>
      <c r="I37" s="320">
        <v>4.5999999999999999E-2</v>
      </c>
    </row>
    <row r="38" spans="6:9">
      <c r="F38" s="313" t="s">
        <v>43</v>
      </c>
      <c r="G38" s="312">
        <v>7.8799999999999995E-2</v>
      </c>
      <c r="H38" s="312">
        <v>7.7899999999999997E-2</v>
      </c>
      <c r="I38" s="314">
        <v>8.0500000000000002E-2</v>
      </c>
    </row>
  </sheetData>
  <mergeCells count="8">
    <mergeCell ref="F11:F12"/>
    <mergeCell ref="G11:G12"/>
    <mergeCell ref="H11:H12"/>
    <mergeCell ref="I11:I12"/>
    <mergeCell ref="F22:F23"/>
    <mergeCell ref="G22:G23"/>
    <mergeCell ref="H22:H23"/>
    <mergeCell ref="I22:I2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56AEB-EC9D-A741-BABB-0514F49AF483}">
  <dimension ref="A1:K101"/>
  <sheetViews>
    <sheetView showGridLines="0" zoomScaleNormal="120" workbookViewId="0">
      <selection activeCell="G5" sqref="G5"/>
    </sheetView>
  </sheetViews>
  <sheetFormatPr baseColWidth="10" defaultColWidth="10.83203125" defaultRowHeight="15"/>
  <cols>
    <col min="1" max="1" width="34.83203125" style="14" bestFit="1" customWidth="1"/>
    <col min="2" max="2" width="35.1640625" style="14" bestFit="1" customWidth="1"/>
    <col min="3" max="4" width="19.6640625" style="14" bestFit="1" customWidth="1"/>
    <col min="5" max="6" width="19.1640625" style="14" bestFit="1" customWidth="1"/>
    <col min="7" max="7" width="21.83203125" style="14" bestFit="1" customWidth="1"/>
    <col min="8" max="11" width="19.6640625" style="14" bestFit="1" customWidth="1"/>
    <col min="12" max="13" width="10.83203125" style="15"/>
    <col min="14" max="14" width="18" style="15" customWidth="1"/>
    <col min="15" max="15" width="13.6640625" style="15" bestFit="1" customWidth="1"/>
    <col min="16" max="16384" width="10.83203125" style="15"/>
  </cols>
  <sheetData>
    <row r="1" spans="1:11">
      <c r="A1" s="13" t="s">
        <v>28</v>
      </c>
    </row>
    <row r="2" spans="1:11" ht="18">
      <c r="A2" s="37" t="s">
        <v>29</v>
      </c>
    </row>
    <row r="3" spans="1:11">
      <c r="A3" s="16"/>
      <c r="B3" s="16"/>
      <c r="C3" s="16"/>
      <c r="D3" s="16"/>
      <c r="E3" s="16"/>
      <c r="F3" s="16"/>
      <c r="G3" s="16"/>
      <c r="H3" s="16"/>
      <c r="I3" s="16"/>
      <c r="J3" s="16"/>
      <c r="K3" s="16"/>
    </row>
    <row r="4" spans="1:11">
      <c r="A4" s="15" t="s">
        <v>30</v>
      </c>
      <c r="B4" s="17" t="e" vm="1">
        <v>#VALUE!</v>
      </c>
      <c r="D4" s="15" t="s">
        <v>31</v>
      </c>
      <c r="E4" s="18">
        <f>B101</f>
        <v>98.506841881953761</v>
      </c>
      <c r="F4" s="15"/>
      <c r="I4" s="16"/>
      <c r="J4" s="16"/>
      <c r="K4" s="16"/>
    </row>
    <row r="5" spans="1:11">
      <c r="A5" s="15" t="s">
        <v>32</v>
      </c>
      <c r="B5" s="19"/>
      <c r="D5" s="15" t="s">
        <v>33</v>
      </c>
      <c r="E5" s="18" cm="1">
        <f t="array" ref="E5">_FV(B4,"Price")</f>
        <v>73.599999999999994</v>
      </c>
      <c r="F5" s="15"/>
    </row>
    <row r="6" spans="1:11">
      <c r="A6" s="15" t="s">
        <v>34</v>
      </c>
      <c r="B6" s="19"/>
      <c r="D6" s="15" t="s">
        <v>35</v>
      </c>
      <c r="E6" s="20">
        <f>E4/E5-1</f>
        <v>0.33840817774393717</v>
      </c>
      <c r="F6" s="15"/>
      <c r="I6" s="16"/>
      <c r="J6" s="16"/>
      <c r="K6" s="16"/>
    </row>
    <row r="7" spans="1:11">
      <c r="A7" s="16"/>
      <c r="B7" s="16"/>
      <c r="C7" s="16"/>
      <c r="D7" s="16"/>
      <c r="E7" s="16"/>
      <c r="F7" s="16"/>
      <c r="G7" s="16"/>
      <c r="H7" s="16"/>
      <c r="I7" s="16"/>
      <c r="J7" s="16"/>
      <c r="K7" s="16"/>
    </row>
    <row r="8" spans="1:11">
      <c r="A8" s="22" t="s">
        <v>36</v>
      </c>
      <c r="B8" s="23"/>
      <c r="C8" s="23"/>
      <c r="D8" s="23"/>
      <c r="E8" s="23"/>
      <c r="F8" s="23"/>
      <c r="G8" s="23"/>
      <c r="H8" s="23"/>
      <c r="I8" s="23"/>
      <c r="J8" s="23"/>
      <c r="K8" s="23"/>
    </row>
    <row r="9" spans="1:11" ht="16">
      <c r="A9" s="9" t="s">
        <v>37</v>
      </c>
      <c r="B9" s="9"/>
      <c r="C9"/>
      <c r="D9" s="9" t="s">
        <v>38</v>
      </c>
      <c r="E9"/>
      <c r="F9" s="15"/>
      <c r="G9" s="9" t="s">
        <v>39</v>
      </c>
      <c r="H9"/>
      <c r="I9"/>
      <c r="J9" s="9" t="s">
        <v>40</v>
      </c>
      <c r="K9"/>
    </row>
    <row r="10" spans="1:11" ht="16">
      <c r="A10" t="s">
        <v>41</v>
      </c>
      <c r="B10" s="12">
        <v>2</v>
      </c>
      <c r="C10"/>
      <c r="D10" t="s">
        <v>42</v>
      </c>
      <c r="E10" s="43">
        <v>7.0000000000000007E-2</v>
      </c>
      <c r="F10" s="15"/>
      <c r="G10" t="s">
        <v>42</v>
      </c>
      <c r="H10" s="43">
        <v>0.09</v>
      </c>
      <c r="I10"/>
      <c r="J10" t="s">
        <v>42</v>
      </c>
      <c r="K10" s="43">
        <v>0.11</v>
      </c>
    </row>
    <row r="11" spans="1:11" ht="16">
      <c r="A11" t="s">
        <v>43</v>
      </c>
      <c r="B11" s="12">
        <v>2</v>
      </c>
      <c r="C11"/>
      <c r="D11" t="s">
        <v>44</v>
      </c>
      <c r="E11" s="43">
        <v>7.0000000000000007E-2</v>
      </c>
      <c r="F11" s="15"/>
      <c r="G11" t="s">
        <v>44</v>
      </c>
      <c r="H11" s="43">
        <v>0.1</v>
      </c>
      <c r="I11"/>
      <c r="J11" t="s">
        <v>44</v>
      </c>
      <c r="K11" s="43">
        <v>0.12</v>
      </c>
    </row>
    <row r="12" spans="1:11" ht="16">
      <c r="A12" t="s">
        <v>45</v>
      </c>
      <c r="B12" s="12">
        <v>2</v>
      </c>
      <c r="C12"/>
      <c r="D12" t="s">
        <v>46</v>
      </c>
      <c r="E12" s="43">
        <v>6.5000000000000002E-2</v>
      </c>
      <c r="F12" s="15"/>
      <c r="G12" t="s">
        <v>46</v>
      </c>
      <c r="H12" s="43">
        <v>0.11</v>
      </c>
      <c r="I12"/>
      <c r="J12" t="s">
        <v>46</v>
      </c>
      <c r="K12" s="43">
        <v>0.13</v>
      </c>
    </row>
    <row r="13" spans="1:11" ht="16">
      <c r="C13"/>
      <c r="D13" t="s">
        <v>47</v>
      </c>
      <c r="E13" s="43">
        <v>0.06</v>
      </c>
      <c r="F13" s="15"/>
      <c r="G13" t="s">
        <v>47</v>
      </c>
      <c r="H13" s="43">
        <v>0.1</v>
      </c>
      <c r="I13"/>
      <c r="J13" t="s">
        <v>47</v>
      </c>
      <c r="K13" s="43">
        <v>0.12</v>
      </c>
    </row>
    <row r="14" spans="1:11" ht="16">
      <c r="A14" t="s">
        <v>42</v>
      </c>
      <c r="B14" s="72" cm="1">
        <f t="array" ref="B14">_xlfn.SWITCH(B10,1,E10,2,H10,3,K10)</f>
        <v>0.09</v>
      </c>
      <c r="C14"/>
      <c r="D14"/>
      <c r="E14"/>
      <c r="F14" s="15"/>
      <c r="G14"/>
      <c r="H14"/>
      <c r="I14"/>
      <c r="J14" s="15"/>
      <c r="K14" s="15"/>
    </row>
    <row r="15" spans="1:11" ht="16">
      <c r="A15" t="s">
        <v>44</v>
      </c>
      <c r="B15" s="72" cm="1">
        <f t="array" ref="B15">_xlfn.SWITCH(B10,1,E11,2,H11,3,K11)</f>
        <v>0.1</v>
      </c>
      <c r="C15"/>
      <c r="D15" t="s">
        <v>43</v>
      </c>
      <c r="E15" s="82">
        <f>WACC!B3</f>
        <v>8.0485630598429656E-2</v>
      </c>
      <c r="F15" s="15"/>
      <c r="G15" t="s">
        <v>43</v>
      </c>
      <c r="H15" s="82">
        <f>WACC!C3</f>
        <v>7.8804136760527999E-2</v>
      </c>
      <c r="I15"/>
      <c r="J15" t="s">
        <v>43</v>
      </c>
      <c r="K15" s="82">
        <f>WACC!D3</f>
        <v>7.7853671628641555E-2</v>
      </c>
    </row>
    <row r="16" spans="1:11" ht="16">
      <c r="A16" t="s">
        <v>46</v>
      </c>
      <c r="B16" s="72" cm="1">
        <f t="array" ref="B16">_xlfn.SWITCH(B10,1,E12,2,H12,3,K12)</f>
        <v>0.11</v>
      </c>
      <c r="C16"/>
      <c r="D16" t="s">
        <v>48</v>
      </c>
      <c r="E16" s="43">
        <v>0.02</v>
      </c>
      <c r="F16" s="15"/>
      <c r="G16" t="s">
        <v>48</v>
      </c>
      <c r="H16" s="43">
        <v>2.5000000000000001E-2</v>
      </c>
      <c r="I16"/>
      <c r="J16" t="s">
        <v>48</v>
      </c>
      <c r="K16" s="44">
        <v>0.03</v>
      </c>
    </row>
    <row r="17" spans="1:11" ht="16">
      <c r="A17" t="s">
        <v>47</v>
      </c>
      <c r="B17" s="72" cm="1">
        <f t="array" ref="B17">_xlfn.SWITCH(B10,1,E13,2,H13,3,K13)</f>
        <v>0.1</v>
      </c>
      <c r="C17" s="15"/>
      <c r="D17" s="15"/>
      <c r="E17" s="15"/>
      <c r="F17" s="15"/>
      <c r="G17" s="15"/>
      <c r="H17" s="15"/>
      <c r="I17" s="15"/>
      <c r="J17" s="15"/>
      <c r="K17" s="15"/>
    </row>
    <row r="18" spans="1:11" ht="16">
      <c r="A18" t="s">
        <v>43</v>
      </c>
      <c r="B18" s="72" cm="1">
        <f t="array" ref="B18">_xlfn.SWITCH(B11,1,E15,2,H15,3,K15)</f>
        <v>7.8804136760527999E-2</v>
      </c>
      <c r="C18" s="16"/>
      <c r="D18" s="16"/>
      <c r="E18" s="16"/>
      <c r="F18" s="16"/>
      <c r="G18" s="21"/>
      <c r="H18" s="21"/>
      <c r="I18" s="21"/>
      <c r="J18" s="21"/>
      <c r="K18" s="21"/>
    </row>
    <row r="19" spans="1:11" ht="16">
      <c r="A19" t="s">
        <v>48</v>
      </c>
      <c r="B19" s="72" cm="1">
        <f t="array" ref="B19">_xlfn.SWITCH(B12,1,E16,2,H16,3,K16)</f>
        <v>2.5000000000000001E-2</v>
      </c>
      <c r="C19" s="16"/>
      <c r="D19" s="16"/>
      <c r="E19" s="16"/>
      <c r="F19" s="16"/>
      <c r="G19" s="21"/>
      <c r="H19" s="21"/>
      <c r="I19" s="21"/>
      <c r="J19" s="21"/>
      <c r="K19" s="21"/>
    </row>
    <row r="20" spans="1:11">
      <c r="A20" s="15"/>
      <c r="B20" s="15"/>
      <c r="C20" s="16"/>
      <c r="D20" s="16"/>
      <c r="E20" s="16"/>
      <c r="F20" s="16"/>
      <c r="G20" s="38">
        <v>1</v>
      </c>
      <c r="H20" s="38">
        <v>2</v>
      </c>
      <c r="I20" s="38">
        <v>3</v>
      </c>
      <c r="J20" s="38">
        <v>4</v>
      </c>
      <c r="K20" s="38">
        <v>5</v>
      </c>
    </row>
    <row r="21" spans="1:11">
      <c r="A21" s="46" t="s">
        <v>49</v>
      </c>
      <c r="B21" s="39" t="s">
        <v>50</v>
      </c>
      <c r="C21" s="40" t="s">
        <v>51</v>
      </c>
      <c r="D21" s="40" t="s">
        <v>52</v>
      </c>
      <c r="E21" s="40" t="s">
        <v>53</v>
      </c>
      <c r="F21" s="40" t="s">
        <v>54</v>
      </c>
      <c r="G21" s="41" t="s">
        <v>159</v>
      </c>
      <c r="H21" s="41" t="s">
        <v>160</v>
      </c>
      <c r="I21" s="41" t="s">
        <v>161</v>
      </c>
      <c r="J21" s="41" t="s">
        <v>162</v>
      </c>
      <c r="K21" s="41" t="s">
        <v>163</v>
      </c>
    </row>
    <row r="22" spans="1:11">
      <c r="A22" s="24" t="s">
        <v>60</v>
      </c>
      <c r="B22" s="25">
        <v>7.0000000000000007E-2</v>
      </c>
      <c r="C22" s="25">
        <f>C68/B68-1</f>
        <v>-0.11281621813298326</v>
      </c>
      <c r="D22" s="25">
        <f t="shared" ref="D22:F22" si="0">D68/C68-1</f>
        <v>0.23567480227910531</v>
      </c>
      <c r="E22" s="25">
        <f t="shared" si="0"/>
        <v>0.10976029400631782</v>
      </c>
      <c r="F22" s="25">
        <f t="shared" si="0"/>
        <v>0.11551210376337595</v>
      </c>
      <c r="G22" s="26">
        <f>B14</f>
        <v>0.09</v>
      </c>
      <c r="H22" s="26">
        <f>B15</f>
        <v>0.1</v>
      </c>
      <c r="I22" s="26">
        <f>B16</f>
        <v>0.11</v>
      </c>
      <c r="J22" s="26">
        <f>B16</f>
        <v>0.11</v>
      </c>
      <c r="K22" s="26">
        <f>B17</f>
        <v>0.1</v>
      </c>
    </row>
    <row r="23" spans="1:11">
      <c r="A23" s="24" t="s">
        <v>61</v>
      </c>
      <c r="B23" s="25">
        <f>B69/B68</f>
        <v>0.71752186083007019</v>
      </c>
      <c r="C23" s="25">
        <f t="shared" ref="C23:F23" si="1">C69/C68</f>
        <v>0.78488391870056973</v>
      </c>
      <c r="D23" s="25">
        <f t="shared" si="1"/>
        <v>0.71065291150217136</v>
      </c>
      <c r="E23" s="25">
        <f>E69/E68</f>
        <v>0.74043342232475362</v>
      </c>
      <c r="F23" s="25">
        <f t="shared" si="1"/>
        <v>0.72630894272784885</v>
      </c>
      <c r="G23" s="26">
        <v>0.7</v>
      </c>
      <c r="H23" s="26">
        <v>0.7</v>
      </c>
      <c r="I23" s="26">
        <v>0.7</v>
      </c>
      <c r="J23" s="26">
        <v>0.7</v>
      </c>
      <c r="K23" s="26">
        <v>0.7</v>
      </c>
    </row>
    <row r="24" spans="1:11">
      <c r="A24" s="24" t="s">
        <v>62</v>
      </c>
      <c r="B24" s="25">
        <f>B72/B68</f>
        <v>0.1213040296356654</v>
      </c>
      <c r="C24" s="25">
        <f t="shared" ref="C24:F24" si="2">C72/C68</f>
        <v>0.13812399013521559</v>
      </c>
      <c r="D24" s="25">
        <f t="shared" si="2"/>
        <v>0.12305320605906278</v>
      </c>
      <c r="E24" s="25">
        <f t="shared" si="2"/>
        <v>0.11628418960443779</v>
      </c>
      <c r="F24" s="25">
        <f t="shared" si="2"/>
        <v>0.12072627002746306</v>
      </c>
      <c r="G24" s="27">
        <v>0.13</v>
      </c>
      <c r="H24" s="27">
        <v>0.14000000000000001</v>
      </c>
      <c r="I24" s="27">
        <v>0.13</v>
      </c>
      <c r="J24" s="27">
        <v>0.14000000000000001</v>
      </c>
      <c r="K24" s="27">
        <v>0.14000000000000001</v>
      </c>
    </row>
    <row r="25" spans="1:11">
      <c r="A25" s="24" t="s">
        <v>63</v>
      </c>
      <c r="B25" s="25">
        <f>B90/B44</f>
        <v>9.6493501944162258E-2</v>
      </c>
      <c r="C25" s="25">
        <f>C90/C44</f>
        <v>6.4214379929473209E-2</v>
      </c>
      <c r="D25" s="25">
        <f>D90/D44</f>
        <v>6.2506503416461454E-2</v>
      </c>
      <c r="E25" s="25">
        <f>E90/E44</f>
        <v>6.128573484470104E-2</v>
      </c>
      <c r="F25" s="25">
        <f>F90/F44</f>
        <v>5.2972460229835011E-2</v>
      </c>
      <c r="G25" s="26">
        <v>0.05</v>
      </c>
      <c r="H25" s="26">
        <v>0.06</v>
      </c>
      <c r="I25" s="26">
        <v>0.06</v>
      </c>
      <c r="J25" s="26">
        <v>0.06</v>
      </c>
      <c r="K25" s="26">
        <v>0.06</v>
      </c>
    </row>
    <row r="26" spans="1:11">
      <c r="A26" s="24" t="s">
        <v>64</v>
      </c>
      <c r="B26" s="25">
        <f>B42/B69</f>
        <v>8.0407980862753345E-2</v>
      </c>
      <c r="C26" s="25">
        <f>C42/C69</f>
        <v>8.4046178266310556E-2</v>
      </c>
      <c r="D26" s="25">
        <f>D42/D69</f>
        <v>7.7663180321518491E-2</v>
      </c>
      <c r="E26" s="25">
        <f>E42/E69</f>
        <v>9.1150457301752155E-2</v>
      </c>
      <c r="F26" s="25">
        <f>F42/F69</f>
        <v>6.9132854179583147E-2</v>
      </c>
      <c r="G26" s="26">
        <v>7.0000000000000007E-2</v>
      </c>
      <c r="H26" s="26">
        <v>7.0000000000000007E-2</v>
      </c>
      <c r="I26" s="26">
        <v>7.0000000000000007E-2</v>
      </c>
      <c r="J26" s="26">
        <v>7.0000000000000007E-2</v>
      </c>
      <c r="K26" s="26">
        <v>7.0000000000000007E-2</v>
      </c>
    </row>
    <row r="27" spans="1:11">
      <c r="A27" s="24" t="s">
        <v>65</v>
      </c>
      <c r="B27" s="25">
        <f>B41/B68</f>
        <v>3.3166594991813979E-2</v>
      </c>
      <c r="C27" s="25">
        <f>C41/C68</f>
        <v>3.7562717918190325E-2</v>
      </c>
      <c r="D27" s="25">
        <f>D41/D68</f>
        <v>3.2346200697852073E-2</v>
      </c>
      <c r="E27" s="25">
        <f>E41/E68</f>
        <v>3.6449273340092958E-2</v>
      </c>
      <c r="F27" s="25">
        <f>F41/F68</f>
        <v>3.2913975027518652E-2</v>
      </c>
      <c r="G27" s="26">
        <v>0.03</v>
      </c>
      <c r="H27" s="26">
        <v>0.03</v>
      </c>
      <c r="I27" s="26">
        <v>0.03</v>
      </c>
      <c r="J27" s="26">
        <v>0.03</v>
      </c>
      <c r="K27" s="26">
        <v>0.03</v>
      </c>
    </row>
    <row r="28" spans="1:11">
      <c r="A28" s="24" t="s">
        <v>66</v>
      </c>
      <c r="B28" s="25">
        <f>B49/B69</f>
        <v>0.25730133277253492</v>
      </c>
      <c r="C28" s="25">
        <f>C49/C69</f>
        <v>0.15957072198234998</v>
      </c>
      <c r="D28" s="25">
        <f>D49/D69</f>
        <v>0.20804280457098587</v>
      </c>
      <c r="E28" s="25">
        <f>E49/E69</f>
        <v>0.18670642232570606</v>
      </c>
      <c r="F28" s="25">
        <f>F49/F69</f>
        <v>0.17275942042297182</v>
      </c>
      <c r="G28" s="26">
        <v>0.2</v>
      </c>
      <c r="H28" s="26">
        <v>0.2</v>
      </c>
      <c r="I28" s="26">
        <v>0.2</v>
      </c>
      <c r="J28" s="26">
        <v>0.2</v>
      </c>
      <c r="K28" s="26">
        <v>0.2</v>
      </c>
    </row>
    <row r="29" spans="1:11">
      <c r="A29" s="24" t="s">
        <v>67</v>
      </c>
      <c r="B29" s="25">
        <f>B40/B68</f>
        <v>0.10400775597353312</v>
      </c>
      <c r="C29" s="25">
        <f>C40/C68</f>
        <v>0.19695977549111318</v>
      </c>
      <c r="D29" s="25">
        <f>D40/D68</f>
        <v>0.22772757616842049</v>
      </c>
      <c r="E29" s="25">
        <f>E40/E68</f>
        <v>9.8693655562893987E-2</v>
      </c>
      <c r="F29" s="25">
        <f>F40/F68</f>
        <v>0.10988002979797418</v>
      </c>
      <c r="G29" s="26">
        <v>0.1</v>
      </c>
      <c r="H29" s="26">
        <v>0.13</v>
      </c>
      <c r="I29" s="26">
        <v>0.14000000000000001</v>
      </c>
      <c r="J29" s="26">
        <v>0.15</v>
      </c>
      <c r="K29" s="26">
        <v>0.17</v>
      </c>
    </row>
    <row r="30" spans="1:11">
      <c r="A30" s="24" t="s">
        <v>68</v>
      </c>
      <c r="B30" s="25"/>
      <c r="C30" s="25">
        <f>C44/B44-1</f>
        <v>0.56159316215364141</v>
      </c>
      <c r="D30" s="25">
        <f t="shared" ref="D30:F30" si="3">D44/C44-1</f>
        <v>3.4787836370651526E-2</v>
      </c>
      <c r="E30" s="25">
        <f t="shared" si="3"/>
        <v>2.4305435121917407E-2</v>
      </c>
      <c r="F30" s="25">
        <f t="shared" si="3"/>
        <v>8.8777332870554559E-2</v>
      </c>
      <c r="G30" s="26">
        <v>0.04</v>
      </c>
      <c r="H30" s="26">
        <v>0.04</v>
      </c>
      <c r="I30" s="26">
        <v>0.04</v>
      </c>
      <c r="J30" s="26">
        <v>0.04</v>
      </c>
      <c r="K30" s="26">
        <v>0.04</v>
      </c>
    </row>
    <row r="31" spans="1:11">
      <c r="A31" s="24" t="s">
        <v>69</v>
      </c>
      <c r="B31" s="25">
        <v>0.19515471765706865</v>
      </c>
      <c r="C31" s="25">
        <v>0.20585709378220543</v>
      </c>
      <c r="D31" s="25">
        <v>0.21590845451660476</v>
      </c>
      <c r="E31" s="25">
        <v>0.22413100498594013</v>
      </c>
      <c r="F31" s="25">
        <v>0.23643532831040931</v>
      </c>
      <c r="G31" s="26">
        <v>0.2</v>
      </c>
      <c r="H31" s="26">
        <v>0.2</v>
      </c>
      <c r="I31" s="26">
        <v>0.2</v>
      </c>
      <c r="J31" s="26">
        <v>0.2</v>
      </c>
      <c r="K31" s="26">
        <v>0.2</v>
      </c>
    </row>
    <row r="32" spans="1:11">
      <c r="A32" s="24" t="s">
        <v>70</v>
      </c>
      <c r="B32" s="25"/>
      <c r="C32" s="25">
        <f>C43/B43-1</f>
        <v>0.51474805407619817</v>
      </c>
      <c r="D32" s="25">
        <f>D43/C43-1</f>
        <v>-0.1959432048681542</v>
      </c>
      <c r="E32" s="25">
        <f>E43/D43-1</f>
        <v>-0.18651194080053812</v>
      </c>
      <c r="F32" s="25">
        <f>F43/E43-1</f>
        <v>-0.25594376679760178</v>
      </c>
      <c r="G32" s="26">
        <v>-0.2</v>
      </c>
      <c r="H32" s="26">
        <v>-0.2</v>
      </c>
      <c r="I32" s="26">
        <v>-0.2</v>
      </c>
      <c r="J32" s="26">
        <v>-0.2</v>
      </c>
      <c r="K32" s="26">
        <v>-0.2</v>
      </c>
    </row>
    <row r="33" spans="1:11">
      <c r="A33" s="24" t="s">
        <v>71</v>
      </c>
      <c r="B33" s="25">
        <f>B71/B68</f>
        <v>1.1241634790219023E-2</v>
      </c>
      <c r="C33" s="25">
        <f t="shared" ref="C33:F33" si="4">C71/C68</f>
        <v>1.3712900756867081E-2</v>
      </c>
      <c r="D33" s="25">
        <f t="shared" si="4"/>
        <v>1.3258501200938728E-2</v>
      </c>
      <c r="E33" s="25">
        <f t="shared" si="4"/>
        <v>7.2588472045221281E-3</v>
      </c>
      <c r="F33" s="25">
        <f t="shared" si="4"/>
        <v>8.2945107239351112E-3</v>
      </c>
      <c r="G33" s="27">
        <v>0.01</v>
      </c>
      <c r="H33" s="27">
        <v>0.01</v>
      </c>
      <c r="I33" s="27">
        <v>0.01</v>
      </c>
      <c r="J33" s="27">
        <v>0.01</v>
      </c>
      <c r="K33" s="27">
        <v>0.01</v>
      </c>
    </row>
    <row r="34" spans="1:11">
      <c r="A34" s="24" t="s">
        <v>72</v>
      </c>
      <c r="B34" s="25"/>
      <c r="C34" s="25">
        <f>C53/B53-1</f>
        <v>-7.5059458526907319E-2</v>
      </c>
      <c r="D34" s="25">
        <f>D53/C53-1</f>
        <v>-4.0635242079458567E-2</v>
      </c>
      <c r="E34" s="25">
        <f>E53/D53-1</f>
        <v>-4.313409621153208E-2</v>
      </c>
      <c r="F34" s="25">
        <f>F53/E53-1</f>
        <v>-3.9853705262546835E-2</v>
      </c>
      <c r="G34" s="27">
        <v>-0.04</v>
      </c>
      <c r="H34" s="27">
        <v>-0.04</v>
      </c>
      <c r="I34" s="27">
        <v>-0.04</v>
      </c>
      <c r="J34" s="27">
        <v>-0.04</v>
      </c>
      <c r="K34" s="27">
        <v>-0.04</v>
      </c>
    </row>
    <row r="35" spans="1:11">
      <c r="A35" s="24" t="s">
        <v>164</v>
      </c>
      <c r="B35" s="25"/>
      <c r="C35" s="25"/>
      <c r="D35" s="25"/>
      <c r="E35" s="25"/>
      <c r="F35" s="25"/>
      <c r="G35" s="27">
        <f>WACC!C17</f>
        <v>3.6999999999999998E-2</v>
      </c>
      <c r="H35" s="27">
        <v>3.5000000000000003E-2</v>
      </c>
      <c r="I35" s="27">
        <v>3.5000000000000003E-2</v>
      </c>
      <c r="J35" s="27">
        <v>3.5000000000000003E-2</v>
      </c>
      <c r="K35" s="27">
        <v>3.5000000000000003E-2</v>
      </c>
    </row>
    <row r="36" spans="1:11">
      <c r="A36" s="24" t="s">
        <v>165</v>
      </c>
      <c r="B36" s="87">
        <v>0.495820271682341</v>
      </c>
      <c r="C36" s="87">
        <v>0.58860103626942994</v>
      </c>
      <c r="D36" s="87">
        <v>-1.26952141057934</v>
      </c>
      <c r="E36" s="87">
        <v>-7.6581576026637094E-2</v>
      </c>
      <c r="F36" s="87">
        <v>0.162886597938144</v>
      </c>
      <c r="G36" s="27">
        <v>-1.9759016143212401E-2</v>
      </c>
      <c r="H36" s="27">
        <v>-1.9759016143212401E-2</v>
      </c>
      <c r="I36" s="27">
        <v>-1.9759016143212401E-2</v>
      </c>
      <c r="J36" s="27">
        <v>-1.9759016143212401E-2</v>
      </c>
      <c r="K36" s="27">
        <v>-1.9759016143212401E-2</v>
      </c>
    </row>
    <row r="37" spans="1:11">
      <c r="B37" s="28"/>
      <c r="C37" s="28"/>
      <c r="D37" s="28"/>
      <c r="E37" s="28"/>
      <c r="F37" s="28"/>
      <c r="G37" s="83"/>
      <c r="H37" s="83"/>
      <c r="I37" s="83"/>
      <c r="J37" s="83"/>
      <c r="K37" s="83"/>
    </row>
    <row r="38" spans="1:11">
      <c r="B38" s="28"/>
      <c r="C38" s="28"/>
      <c r="D38" s="28"/>
      <c r="E38" s="28"/>
      <c r="F38" s="28"/>
      <c r="G38" s="83"/>
      <c r="H38" s="83"/>
      <c r="I38" s="83"/>
      <c r="J38" s="83"/>
      <c r="K38" s="83"/>
    </row>
    <row r="39" spans="1:11">
      <c r="A39" s="13" t="s">
        <v>73</v>
      </c>
    </row>
    <row r="40" spans="1:11">
      <c r="A40" s="24" t="s">
        <v>74</v>
      </c>
      <c r="B40" s="24">
        <v>2757100</v>
      </c>
      <c r="C40" s="24">
        <v>4632100</v>
      </c>
      <c r="D40" s="24">
        <v>6617900</v>
      </c>
      <c r="E40" s="24">
        <v>3182900</v>
      </c>
      <c r="F40" s="24">
        <v>3953000</v>
      </c>
      <c r="G40" s="47">
        <f>G29*G68</f>
        <v>3921340.4000000004</v>
      </c>
      <c r="H40" s="29">
        <f>H29*H68</f>
        <v>5607516.7719999999</v>
      </c>
      <c r="I40" s="29">
        <f>I29*I68</f>
        <v>6703139.2797600003</v>
      </c>
      <c r="J40" s="29">
        <f>J29*J68</f>
        <v>7971947.7862859983</v>
      </c>
      <c r="K40" s="29">
        <f>K29*K68</f>
        <v>9938361.5735698789</v>
      </c>
    </row>
    <row r="41" spans="1:11">
      <c r="A41" s="24" t="s">
        <v>75</v>
      </c>
      <c r="B41" s="24">
        <v>879200</v>
      </c>
      <c r="C41" s="24">
        <v>883400</v>
      </c>
      <c r="D41" s="24">
        <v>940000</v>
      </c>
      <c r="E41" s="24">
        <v>1175500</v>
      </c>
      <c r="F41" s="24">
        <v>1184100</v>
      </c>
      <c r="G41" s="47">
        <f>G27*G68</f>
        <v>1176402.1199999999</v>
      </c>
      <c r="H41" s="29">
        <f>H27*H68</f>
        <v>1294042.3319999999</v>
      </c>
      <c r="I41" s="29">
        <f>I27*I68</f>
        <v>1436386.9885199997</v>
      </c>
      <c r="J41" s="29">
        <f>J27*J68</f>
        <v>1594389.5572571997</v>
      </c>
      <c r="K41" s="29">
        <f>K27*K68</f>
        <v>1753828.5129829198</v>
      </c>
    </row>
    <row r="42" spans="1:11">
      <c r="A42" s="24" t="s">
        <v>76</v>
      </c>
      <c r="B42" s="24">
        <v>1529400</v>
      </c>
      <c r="C42" s="24">
        <v>1551400</v>
      </c>
      <c r="D42" s="24">
        <v>1603900</v>
      </c>
      <c r="E42" s="24">
        <v>2176600</v>
      </c>
      <c r="F42" s="24">
        <v>1806400</v>
      </c>
      <c r="G42" s="47">
        <f>G26*G69</f>
        <v>1921456.7960000001</v>
      </c>
      <c r="H42" s="29">
        <f>H26*H69</f>
        <v>2113602.4756</v>
      </c>
      <c r="I42" s="29">
        <f>I26*I69</f>
        <v>2346098.747916</v>
      </c>
      <c r="J42" s="29">
        <f>J26*J69</f>
        <v>2604169.6101867598</v>
      </c>
      <c r="K42" s="29">
        <f>K26*K69</f>
        <v>2864586.5712054358</v>
      </c>
    </row>
    <row r="43" spans="1:11">
      <c r="A43" s="24" t="s">
        <v>77</v>
      </c>
      <c r="B43" s="24">
        <v>488200</v>
      </c>
      <c r="C43" s="24">
        <v>739500</v>
      </c>
      <c r="D43" s="24">
        <v>594600</v>
      </c>
      <c r="E43" s="24">
        <v>483700</v>
      </c>
      <c r="F43" s="24">
        <v>359900</v>
      </c>
      <c r="G43" s="47">
        <f>F43*G32+F43</f>
        <v>287920</v>
      </c>
      <c r="H43" s="47">
        <f>G43*H32+G43</f>
        <v>230336</v>
      </c>
      <c r="I43" s="47">
        <f>H43*I32+H43</f>
        <v>184268.79999999999</v>
      </c>
      <c r="J43" s="47">
        <f>I43*J32+I43</f>
        <v>147415.03999999998</v>
      </c>
      <c r="K43" s="47">
        <f>J43*K32+J43</f>
        <v>117932.03199999998</v>
      </c>
    </row>
    <row r="44" spans="1:11">
      <c r="A44" s="24" t="s">
        <v>78</v>
      </c>
      <c r="B44" s="24">
        <v>14273500</v>
      </c>
      <c r="C44" s="24">
        <v>22289400</v>
      </c>
      <c r="D44" s="24">
        <v>23064800</v>
      </c>
      <c r="E44" s="24">
        <v>23625400</v>
      </c>
      <c r="F44" s="24">
        <v>25722800</v>
      </c>
      <c r="G44" s="47">
        <f>F44*(1+G30)</f>
        <v>26751712</v>
      </c>
      <c r="H44" s="29">
        <f>G44*(1+H30)</f>
        <v>27821780.48</v>
      </c>
      <c r="I44" s="29">
        <f>H44*(1+I30)</f>
        <v>28934651.699200001</v>
      </c>
      <c r="J44" s="29">
        <f>I44*(1+J30)</f>
        <v>30092037.767168</v>
      </c>
      <c r="K44" s="29">
        <f>J44*(1+K30)</f>
        <v>31295719.277854722</v>
      </c>
    </row>
    <row r="45" spans="1:11">
      <c r="A45" s="24" t="s">
        <v>79</v>
      </c>
      <c r="B45" s="24">
        <v>7841800</v>
      </c>
      <c r="C45" s="24">
        <v>7913900</v>
      </c>
      <c r="D45" s="24">
        <v>8459300</v>
      </c>
      <c r="E45" s="24">
        <v>9049300</v>
      </c>
      <c r="F45" s="24">
        <v>9923100</v>
      </c>
      <c r="G45" s="47">
        <f>F45+G25*F46</f>
        <v>10713085</v>
      </c>
      <c r="H45" s="29">
        <f>G45+H25*G46</f>
        <v>11675402.619999999</v>
      </c>
      <c r="I45" s="29">
        <f>H45+I25*H46</f>
        <v>12644185.2916</v>
      </c>
      <c r="J45" s="29">
        <f>I45+J25*I46</f>
        <v>13621613.276056001</v>
      </c>
      <c r="K45" s="29">
        <f>J45+K25*J46</f>
        <v>14609838.745522721</v>
      </c>
    </row>
    <row r="46" spans="1:11">
      <c r="A46" s="24" t="s">
        <v>80</v>
      </c>
      <c r="B46" s="24">
        <f>B44-B45</f>
        <v>6431700</v>
      </c>
      <c r="C46" s="24">
        <f t="shared" ref="C46:K46" si="5">C44-C45</f>
        <v>14375500</v>
      </c>
      <c r="D46" s="24">
        <f t="shared" si="5"/>
        <v>14605500</v>
      </c>
      <c r="E46" s="24">
        <f t="shared" si="5"/>
        <v>14576100</v>
      </c>
      <c r="F46" s="24">
        <f t="shared" si="5"/>
        <v>15799700</v>
      </c>
      <c r="G46" s="31">
        <f t="shared" si="5"/>
        <v>16038627</v>
      </c>
      <c r="H46" s="31">
        <f t="shared" si="5"/>
        <v>16146377.860000001</v>
      </c>
      <c r="I46" s="31">
        <f t="shared" si="5"/>
        <v>16290466.407600001</v>
      </c>
      <c r="J46" s="31">
        <f t="shared" si="5"/>
        <v>16470424.491111999</v>
      </c>
      <c r="K46" s="31">
        <f t="shared" si="5"/>
        <v>16685880.532332001</v>
      </c>
    </row>
    <row r="47" spans="1:11">
      <c r="A47" s="24" t="s">
        <v>81</v>
      </c>
      <c r="B47" s="24">
        <v>220000</v>
      </c>
      <c r="C47" s="24">
        <v>206100</v>
      </c>
      <c r="D47" s="24">
        <v>281700</v>
      </c>
      <c r="E47" s="24">
        <v>279100</v>
      </c>
      <c r="F47" s="24">
        <v>247400</v>
      </c>
      <c r="G47" s="47">
        <v>2744400</v>
      </c>
      <c r="H47" s="47">
        <v>2744400</v>
      </c>
      <c r="I47" s="47">
        <v>2744400</v>
      </c>
      <c r="J47" s="47">
        <v>2744400</v>
      </c>
      <c r="K47" s="47">
        <v>2744400</v>
      </c>
    </row>
    <row r="48" spans="1:11">
      <c r="A48" s="24" t="s">
        <v>82</v>
      </c>
      <c r="B48" s="24">
        <v>6914000</v>
      </c>
      <c r="C48" s="24">
        <v>6986500</v>
      </c>
      <c r="D48" s="24">
        <v>6749000</v>
      </c>
      <c r="E48" s="24">
        <v>6104500</v>
      </c>
      <c r="F48" s="24">
        <v>6095000</v>
      </c>
      <c r="G48" s="47">
        <v>6095000</v>
      </c>
      <c r="H48" s="47">
        <v>6095000</v>
      </c>
      <c r="I48" s="47">
        <v>6095000</v>
      </c>
      <c r="J48" s="47">
        <v>6095000</v>
      </c>
      <c r="K48" s="47">
        <v>6095000</v>
      </c>
    </row>
    <row r="49" spans="1:11">
      <c r="A49" s="24" t="s">
        <v>83</v>
      </c>
      <c r="B49" s="24">
        <v>4894000</v>
      </c>
      <c r="C49" s="24">
        <v>2945500</v>
      </c>
      <c r="D49" s="24">
        <v>4296500</v>
      </c>
      <c r="E49" s="24">
        <v>4458400</v>
      </c>
      <c r="F49" s="24">
        <v>4514100</v>
      </c>
      <c r="G49" s="47">
        <f>G28*G69</f>
        <v>5489876.5599999996</v>
      </c>
      <c r="H49" s="29">
        <f>H28*H69</f>
        <v>6038864.216</v>
      </c>
      <c r="I49" s="29">
        <f>I28*I69</f>
        <v>6703139.2797599994</v>
      </c>
      <c r="J49" s="29">
        <f>J28*J69</f>
        <v>7440484.600533599</v>
      </c>
      <c r="K49" s="29">
        <f>K28*K69</f>
        <v>8184533.0605869591</v>
      </c>
    </row>
    <row r="50" spans="1:11">
      <c r="A50" s="24" t="s">
        <v>84</v>
      </c>
      <c r="B50" s="24">
        <v>0</v>
      </c>
      <c r="C50" s="24">
        <v>2937500</v>
      </c>
      <c r="D50" s="24">
        <v>2250200</v>
      </c>
      <c r="E50" s="24">
        <v>3169700</v>
      </c>
      <c r="F50" s="24">
        <v>3127400</v>
      </c>
      <c r="G50" s="47">
        <v>3127400</v>
      </c>
      <c r="H50" s="47">
        <v>3127400</v>
      </c>
      <c r="I50" s="47">
        <v>3127400</v>
      </c>
      <c r="J50" s="47">
        <v>3127400</v>
      </c>
      <c r="K50" s="47">
        <v>3127400</v>
      </c>
    </row>
    <row r="51" spans="1:11">
      <c r="A51" s="24" t="s">
        <v>85</v>
      </c>
      <c r="B51" s="24">
        <v>1274700</v>
      </c>
      <c r="C51" s="24">
        <v>1463800</v>
      </c>
      <c r="D51" s="24">
        <v>1604700</v>
      </c>
      <c r="E51" s="24">
        <v>1523700</v>
      </c>
      <c r="F51" s="24">
        <v>1703800</v>
      </c>
      <c r="G51" s="47">
        <f>F51*1.1</f>
        <v>1874180.0000000002</v>
      </c>
      <c r="H51" s="29">
        <f t="shared" ref="H51:K51" si="6">G51*1.1</f>
        <v>2061598.0000000005</v>
      </c>
      <c r="I51" s="29">
        <f t="shared" si="6"/>
        <v>2267757.8000000007</v>
      </c>
      <c r="J51" s="29">
        <f t="shared" si="6"/>
        <v>2494533.580000001</v>
      </c>
      <c r="K51" s="29">
        <f t="shared" si="6"/>
        <v>2743986.9380000015</v>
      </c>
    </row>
    <row r="52" spans="1:11">
      <c r="A52" s="24" t="s">
        <v>86</v>
      </c>
      <c r="B52" s="24">
        <v>11167000</v>
      </c>
      <c r="C52" s="24">
        <v>22321300</v>
      </c>
      <c r="D52" s="24">
        <v>21354900</v>
      </c>
      <c r="E52" s="24">
        <v>20635100</v>
      </c>
      <c r="F52" s="24">
        <v>21472400</v>
      </c>
      <c r="G52" s="47">
        <v>21472400</v>
      </c>
      <c r="H52" s="47">
        <v>21472400</v>
      </c>
      <c r="I52" s="47">
        <v>21472400</v>
      </c>
      <c r="J52" s="47">
        <v>21472400</v>
      </c>
      <c r="K52" s="47">
        <v>21472400</v>
      </c>
    </row>
    <row r="53" spans="1:11">
      <c r="A53" s="24" t="s">
        <v>87</v>
      </c>
      <c r="B53" s="24">
        <v>8114900</v>
      </c>
      <c r="C53" s="24">
        <v>7505800</v>
      </c>
      <c r="D53" s="24">
        <v>7200800</v>
      </c>
      <c r="E53" s="24">
        <v>6890200</v>
      </c>
      <c r="F53" s="24">
        <v>6615600</v>
      </c>
      <c r="G53" s="47">
        <f>F53*G34+F53</f>
        <v>6350976</v>
      </c>
      <c r="H53" s="47">
        <f>G53*H34+G53</f>
        <v>6096936.96</v>
      </c>
      <c r="I53" s="47">
        <f>H53*I34+H53</f>
        <v>5853059.4815999996</v>
      </c>
      <c r="J53" s="47">
        <f>I53*J34+I53</f>
        <v>5618937.1023359997</v>
      </c>
      <c r="K53" s="47">
        <f>J53*K34+J53</f>
        <v>5394179.61824256</v>
      </c>
    </row>
    <row r="54" spans="1:11">
      <c r="A54" s="24" t="s">
        <v>88</v>
      </c>
      <c r="B54" s="24">
        <f>B50+B52</f>
        <v>11167000</v>
      </c>
      <c r="C54" s="24">
        <f>C50+C52</f>
        <v>25258800</v>
      </c>
      <c r="D54" s="24">
        <f>D50+D52</f>
        <v>23605100</v>
      </c>
      <c r="E54" s="24">
        <f>E50+E52</f>
        <v>23804800</v>
      </c>
      <c r="F54" s="24">
        <f>F50+F52</f>
        <v>24599800</v>
      </c>
      <c r="G54" s="47">
        <f t="shared" ref="G54:K54" si="7">G50+G52</f>
        <v>24599800</v>
      </c>
      <c r="H54" s="29">
        <f t="shared" si="7"/>
        <v>24599800</v>
      </c>
      <c r="I54" s="29">
        <f t="shared" si="7"/>
        <v>24599800</v>
      </c>
      <c r="J54" s="29">
        <f t="shared" si="7"/>
        <v>24599800</v>
      </c>
      <c r="K54" s="29">
        <f t="shared" si="7"/>
        <v>24599800</v>
      </c>
    </row>
    <row r="55" spans="1:11">
      <c r="A55" s="24" t="s">
        <v>89</v>
      </c>
      <c r="B55" s="24">
        <f t="shared" ref="B55:K55" si="8">B41+B42</f>
        <v>2408600</v>
      </c>
      <c r="C55" s="24">
        <f t="shared" si="8"/>
        <v>2434800</v>
      </c>
      <c r="D55" s="24">
        <f t="shared" si="8"/>
        <v>2543900</v>
      </c>
      <c r="E55" s="24">
        <f t="shared" si="8"/>
        <v>3352100</v>
      </c>
      <c r="F55" s="24">
        <f t="shared" si="8"/>
        <v>2990500</v>
      </c>
      <c r="G55" s="47">
        <f t="shared" si="8"/>
        <v>3097858.9160000002</v>
      </c>
      <c r="H55" s="29">
        <f t="shared" si="8"/>
        <v>3407644.8075999999</v>
      </c>
      <c r="I55" s="29">
        <f t="shared" si="8"/>
        <v>3782485.7364359996</v>
      </c>
      <c r="J55" s="29">
        <f t="shared" si="8"/>
        <v>4198559.167443959</v>
      </c>
      <c r="K55" s="29">
        <f t="shared" si="8"/>
        <v>4618415.0841883551</v>
      </c>
    </row>
    <row r="56" spans="1:11">
      <c r="A56" s="24" t="s">
        <v>90</v>
      </c>
      <c r="B56" s="24">
        <f t="shared" ref="B56:K56" si="9">B49</f>
        <v>4894000</v>
      </c>
      <c r="C56" s="24">
        <f t="shared" si="9"/>
        <v>2945500</v>
      </c>
      <c r="D56" s="24">
        <f t="shared" si="9"/>
        <v>4296500</v>
      </c>
      <c r="E56" s="24">
        <f t="shared" si="9"/>
        <v>4458400</v>
      </c>
      <c r="F56" s="24">
        <f t="shared" si="9"/>
        <v>4514100</v>
      </c>
      <c r="G56" s="47">
        <f t="shared" si="9"/>
        <v>5489876.5599999996</v>
      </c>
      <c r="H56" s="29">
        <f t="shared" si="9"/>
        <v>6038864.216</v>
      </c>
      <c r="I56" s="29">
        <f t="shared" si="9"/>
        <v>6703139.2797599994</v>
      </c>
      <c r="J56" s="29">
        <f t="shared" si="9"/>
        <v>7440484.600533599</v>
      </c>
      <c r="K56" s="29">
        <f t="shared" si="9"/>
        <v>8184533.0605869591</v>
      </c>
    </row>
    <row r="57" spans="1:11">
      <c r="A57" s="24" t="s">
        <v>91</v>
      </c>
      <c r="B57" s="24">
        <f>B55-B56</f>
        <v>-2485400</v>
      </c>
      <c r="C57" s="24">
        <f t="shared" ref="C57:K57" si="10">C55-C56</f>
        <v>-510700</v>
      </c>
      <c r="D57" s="24">
        <f t="shared" si="10"/>
        <v>-1752600</v>
      </c>
      <c r="E57" s="24">
        <f t="shared" si="10"/>
        <v>-1106300</v>
      </c>
      <c r="F57" s="24">
        <f t="shared" si="10"/>
        <v>-1523600</v>
      </c>
      <c r="G57" s="47">
        <f t="shared" si="10"/>
        <v>-2392017.6439999994</v>
      </c>
      <c r="H57" s="29">
        <f t="shared" si="10"/>
        <v>-2631219.4084000001</v>
      </c>
      <c r="I57" s="29">
        <f t="shared" si="10"/>
        <v>-2920653.5433239997</v>
      </c>
      <c r="J57" s="29">
        <f t="shared" si="10"/>
        <v>-3241925.43308964</v>
      </c>
      <c r="K57" s="29">
        <f t="shared" si="10"/>
        <v>-3566117.976398604</v>
      </c>
    </row>
    <row r="58" spans="1:11">
      <c r="A58" s="24" t="s">
        <v>92</v>
      </c>
      <c r="B58" s="24"/>
      <c r="C58" s="24">
        <f>C57-B57</f>
        <v>1974700</v>
      </c>
      <c r="D58" s="24">
        <f t="shared" ref="D58:K58" si="11">D57-C57</f>
        <v>-1241900</v>
      </c>
      <c r="E58" s="24">
        <f t="shared" si="11"/>
        <v>646300</v>
      </c>
      <c r="F58" s="24">
        <f t="shared" si="11"/>
        <v>-417300</v>
      </c>
      <c r="G58" s="47">
        <f t="shared" si="11"/>
        <v>-868417.64399999939</v>
      </c>
      <c r="H58" s="29">
        <f t="shared" si="11"/>
        <v>-239201.76440000068</v>
      </c>
      <c r="I58" s="29">
        <f t="shared" si="11"/>
        <v>-289434.13492399966</v>
      </c>
      <c r="J58" s="29">
        <f t="shared" si="11"/>
        <v>-321271.88976564026</v>
      </c>
      <c r="K58" s="29">
        <f t="shared" si="11"/>
        <v>-324192.543308964</v>
      </c>
    </row>
    <row r="59" spans="1:11">
      <c r="A59" s="24" t="s">
        <v>93</v>
      </c>
      <c r="B59" s="24"/>
      <c r="C59" s="24">
        <f>C46-B46+C90</f>
        <v>9375100</v>
      </c>
      <c r="D59" s="24">
        <f t="shared" ref="D59:K59" si="12">D46-C46+D90</f>
        <v>1671700</v>
      </c>
      <c r="E59" s="24">
        <f t="shared" si="12"/>
        <v>1418500</v>
      </c>
      <c r="F59" s="24">
        <f t="shared" si="12"/>
        <v>2586200</v>
      </c>
      <c r="G59" s="47">
        <f>G46-F46+G90</f>
        <v>1576512.6</v>
      </c>
      <c r="H59" s="29">
        <f t="shared" si="12"/>
        <v>1777057.6888000013</v>
      </c>
      <c r="I59" s="29">
        <f t="shared" si="12"/>
        <v>1880167.6495519993</v>
      </c>
      <c r="J59" s="29">
        <f t="shared" si="12"/>
        <v>1985480.3495420788</v>
      </c>
      <c r="K59" s="29">
        <f t="shared" si="12"/>
        <v>2093199.1978912852</v>
      </c>
    </row>
    <row r="60" spans="1:11">
      <c r="A60" s="24" t="s">
        <v>94</v>
      </c>
      <c r="B60" s="24">
        <f t="shared" ref="B60:K60" si="13">B40+B41+B42+B43</f>
        <v>5653900</v>
      </c>
      <c r="C60" s="24">
        <f t="shared" si="13"/>
        <v>7806400</v>
      </c>
      <c r="D60" s="24">
        <f t="shared" si="13"/>
        <v>9756400</v>
      </c>
      <c r="E60" s="24">
        <f t="shared" si="13"/>
        <v>7018700</v>
      </c>
      <c r="F60" s="24">
        <f t="shared" si="13"/>
        <v>7303400</v>
      </c>
      <c r="G60" s="47">
        <f t="shared" si="13"/>
        <v>7307119.3160000006</v>
      </c>
      <c r="H60" s="29">
        <f t="shared" si="13"/>
        <v>9245497.5796000008</v>
      </c>
      <c r="I60" s="29">
        <f t="shared" si="13"/>
        <v>10669893.816196</v>
      </c>
      <c r="J60" s="29">
        <f t="shared" si="13"/>
        <v>12317921.993729956</v>
      </c>
      <c r="K60" s="29">
        <f t="shared" si="13"/>
        <v>14674708.689758234</v>
      </c>
    </row>
    <row r="61" spans="1:11">
      <c r="A61" s="24" t="s">
        <v>95</v>
      </c>
      <c r="B61" s="24">
        <f t="shared" ref="B61:K61" si="14">SUM(B49:B51)</f>
        <v>6168700</v>
      </c>
      <c r="C61" s="24">
        <f t="shared" si="14"/>
        <v>7346800</v>
      </c>
      <c r="D61" s="24">
        <f t="shared" si="14"/>
        <v>8151400</v>
      </c>
      <c r="E61" s="24">
        <f t="shared" si="14"/>
        <v>9151800</v>
      </c>
      <c r="F61" s="24">
        <f t="shared" si="14"/>
        <v>9345300</v>
      </c>
      <c r="G61" s="31">
        <f t="shared" si="14"/>
        <v>10491456.559999999</v>
      </c>
      <c r="H61" s="31">
        <f t="shared" si="14"/>
        <v>11227862.216</v>
      </c>
      <c r="I61" s="31">
        <f t="shared" si="14"/>
        <v>12098297.07976</v>
      </c>
      <c r="J61" s="31">
        <f t="shared" si="14"/>
        <v>13062418.180533599</v>
      </c>
      <c r="K61" s="31">
        <f t="shared" si="14"/>
        <v>14055919.99858696</v>
      </c>
    </row>
    <row r="62" spans="1:11">
      <c r="A62" s="24" t="s">
        <v>96</v>
      </c>
      <c r="B62" s="24">
        <f t="shared" ref="B62:K62" si="15">SUM(B46:B48)</f>
        <v>13565700</v>
      </c>
      <c r="C62" s="24">
        <f t="shared" si="15"/>
        <v>21568100</v>
      </c>
      <c r="D62" s="24">
        <f t="shared" si="15"/>
        <v>21636200</v>
      </c>
      <c r="E62" s="24">
        <f t="shared" si="15"/>
        <v>20959700</v>
      </c>
      <c r="F62" s="24">
        <f t="shared" si="15"/>
        <v>22142100</v>
      </c>
      <c r="G62" s="47">
        <f t="shared" si="15"/>
        <v>24878027</v>
      </c>
      <c r="H62" s="29">
        <f t="shared" si="15"/>
        <v>24985777.859999999</v>
      </c>
      <c r="I62" s="29">
        <f t="shared" si="15"/>
        <v>25129866.407600001</v>
      </c>
      <c r="J62" s="29">
        <f t="shared" si="15"/>
        <v>25309824.491112001</v>
      </c>
      <c r="K62" s="29">
        <f t="shared" si="15"/>
        <v>25525280.532332003</v>
      </c>
    </row>
    <row r="63" spans="1:11">
      <c r="A63" s="24" t="s">
        <v>97</v>
      </c>
      <c r="B63" s="24">
        <f>SUM(B52:B53)</f>
        <v>19281900</v>
      </c>
      <c r="C63" s="24">
        <f>SUM(C52:C53)</f>
        <v>29827100</v>
      </c>
      <c r="D63" s="24">
        <f>SUM(D52:D53)</f>
        <v>28555700</v>
      </c>
      <c r="E63" s="24">
        <f>SUM(E52:E53)</f>
        <v>27525300</v>
      </c>
      <c r="F63" s="24">
        <f>SUM(F52:F53)</f>
        <v>28088000</v>
      </c>
      <c r="G63" s="47">
        <f t="shared" ref="G63:K63" si="16">SUM(G52:G53)</f>
        <v>27823376</v>
      </c>
      <c r="H63" s="29">
        <f t="shared" si="16"/>
        <v>27569336.960000001</v>
      </c>
      <c r="I63" s="29">
        <f t="shared" si="16"/>
        <v>27325459.481600001</v>
      </c>
      <c r="J63" s="29">
        <f t="shared" si="16"/>
        <v>27091337.102336001</v>
      </c>
      <c r="K63" s="29">
        <f t="shared" si="16"/>
        <v>26866579.618242562</v>
      </c>
    </row>
    <row r="64" spans="1:11">
      <c r="A64" s="24" t="s">
        <v>98</v>
      </c>
      <c r="B64" s="24">
        <f>B60+B62</f>
        <v>19219600</v>
      </c>
      <c r="C64" s="24">
        <f t="shared" ref="C64:K64" si="17">C60+C62</f>
        <v>29374500</v>
      </c>
      <c r="D64" s="24">
        <f t="shared" si="17"/>
        <v>31392600</v>
      </c>
      <c r="E64" s="24">
        <f t="shared" si="17"/>
        <v>27978400</v>
      </c>
      <c r="F64" s="24">
        <f t="shared" si="17"/>
        <v>29445500</v>
      </c>
      <c r="G64" s="47">
        <f t="shared" si="17"/>
        <v>32185146.316</v>
      </c>
      <c r="H64" s="29">
        <f t="shared" si="17"/>
        <v>34231275.439599998</v>
      </c>
      <c r="I64" s="29">
        <f t="shared" si="17"/>
        <v>35799760.223796003</v>
      </c>
      <c r="J64" s="29">
        <f t="shared" si="17"/>
        <v>37627746.484841958</v>
      </c>
      <c r="K64" s="29">
        <f t="shared" si="17"/>
        <v>40199989.222090237</v>
      </c>
    </row>
    <row r="65" spans="1:11">
      <c r="A65" s="24" t="s">
        <v>99</v>
      </c>
      <c r="B65" s="24">
        <f>B64-B63-B61</f>
        <v>-6231000</v>
      </c>
      <c r="C65" s="24">
        <f t="shared" ref="C65:E65" si="18">C64-C63-C61</f>
        <v>-7799400</v>
      </c>
      <c r="D65" s="24">
        <f t="shared" si="18"/>
        <v>-5314500</v>
      </c>
      <c r="E65" s="24">
        <f t="shared" si="18"/>
        <v>-8698700</v>
      </c>
      <c r="F65" s="24">
        <f>F64-F63-F61</f>
        <v>-7987800</v>
      </c>
      <c r="G65" s="47">
        <f t="shared" ref="G65:K65" si="19">G64-G63-G61</f>
        <v>-6129686.243999999</v>
      </c>
      <c r="H65" s="29">
        <f t="shared" si="19"/>
        <v>-4565923.7364000026</v>
      </c>
      <c r="I65" s="29">
        <f t="shared" si="19"/>
        <v>-3623996.337563999</v>
      </c>
      <c r="J65" s="29">
        <f t="shared" si="19"/>
        <v>-2526008.7980276421</v>
      </c>
      <c r="K65" s="29">
        <f t="shared" si="19"/>
        <v>-722510.39473928511</v>
      </c>
    </row>
    <row r="67" spans="1:11">
      <c r="A67" s="13" t="s">
        <v>100</v>
      </c>
    </row>
    <row r="68" spans="1:11">
      <c r="A68" s="32" t="s">
        <v>41</v>
      </c>
      <c r="B68" s="24">
        <v>26508600</v>
      </c>
      <c r="C68" s="24">
        <v>23518000</v>
      </c>
      <c r="D68" s="24">
        <v>29060600</v>
      </c>
      <c r="E68" s="24">
        <v>32250300</v>
      </c>
      <c r="F68" s="24">
        <v>35975600</v>
      </c>
      <c r="G68" s="29">
        <f>G22*F68+F68</f>
        <v>39213404</v>
      </c>
      <c r="H68" s="29">
        <f>H22*G68+G68</f>
        <v>43134744.399999999</v>
      </c>
      <c r="I68" s="29">
        <f>I22*H68+H68</f>
        <v>47879566.283999994</v>
      </c>
      <c r="J68" s="29">
        <f>J22*I68+I68</f>
        <v>53146318.575239994</v>
      </c>
      <c r="K68" s="29">
        <f>K22*J68+J68</f>
        <v>58460950.432763994</v>
      </c>
    </row>
    <row r="69" spans="1:11">
      <c r="A69" s="33" t="s">
        <v>101</v>
      </c>
      <c r="B69" s="24">
        <v>19020500</v>
      </c>
      <c r="C69" s="24">
        <v>18458900</v>
      </c>
      <c r="D69" s="24">
        <v>20652000</v>
      </c>
      <c r="E69" s="24">
        <v>23879200</v>
      </c>
      <c r="F69" s="24">
        <v>26129400</v>
      </c>
      <c r="G69" s="29">
        <f>G68*G23</f>
        <v>27449382.799999997</v>
      </c>
      <c r="H69" s="29">
        <f>H68*H23</f>
        <v>30194321.079999998</v>
      </c>
      <c r="I69" s="29">
        <f>I68*I23</f>
        <v>33515696.398799993</v>
      </c>
      <c r="J69" s="29">
        <f>J68*J23</f>
        <v>37202423.002667993</v>
      </c>
      <c r="K69" s="29">
        <f>K68*K23</f>
        <v>40922665.302934796</v>
      </c>
    </row>
    <row r="70" spans="1:11">
      <c r="A70" s="33" t="s">
        <v>102</v>
      </c>
      <c r="B70" s="24">
        <f>B68-B69</f>
        <v>7488100</v>
      </c>
      <c r="C70" s="24">
        <f t="shared" ref="C70:K70" si="20">C68-C69</f>
        <v>5059100</v>
      </c>
      <c r="D70" s="24">
        <f t="shared" si="20"/>
        <v>8408600</v>
      </c>
      <c r="E70" s="24">
        <f t="shared" si="20"/>
        <v>8371100</v>
      </c>
      <c r="F70" s="24">
        <f t="shared" si="20"/>
        <v>9846200</v>
      </c>
      <c r="G70" s="29">
        <f t="shared" si="20"/>
        <v>11764021.200000003</v>
      </c>
      <c r="H70" s="29">
        <f t="shared" si="20"/>
        <v>12940423.32</v>
      </c>
      <c r="I70" s="29">
        <f t="shared" si="20"/>
        <v>14363869.885200001</v>
      </c>
      <c r="J70" s="29">
        <f t="shared" si="20"/>
        <v>15943895.572572</v>
      </c>
      <c r="K70" s="29">
        <f t="shared" si="20"/>
        <v>17538285.129829198</v>
      </c>
    </row>
    <row r="71" spans="1:11">
      <c r="A71" s="33" t="s">
        <v>103</v>
      </c>
      <c r="B71" s="24">
        <v>298000</v>
      </c>
      <c r="C71" s="24">
        <v>322500</v>
      </c>
      <c r="D71" s="24">
        <v>385300</v>
      </c>
      <c r="E71" s="24">
        <v>234100</v>
      </c>
      <c r="F71" s="24">
        <v>298400</v>
      </c>
      <c r="G71" s="29">
        <f>G68*G33</f>
        <v>392134.04000000004</v>
      </c>
      <c r="H71" s="29">
        <f t="shared" ref="H71:K71" si="21">H68*H33</f>
        <v>431347.44400000002</v>
      </c>
      <c r="I71" s="29">
        <f t="shared" si="21"/>
        <v>478795.66283999995</v>
      </c>
      <c r="J71" s="29">
        <f t="shared" si="21"/>
        <v>531463.18575239996</v>
      </c>
      <c r="K71" s="29">
        <f t="shared" si="21"/>
        <v>584609.50432763994</v>
      </c>
    </row>
    <row r="72" spans="1:11">
      <c r="A72" s="33" t="s">
        <v>104</v>
      </c>
      <c r="B72" s="24">
        <v>3215600</v>
      </c>
      <c r="C72" s="24">
        <v>3248400</v>
      </c>
      <c r="D72" s="24">
        <v>3576000</v>
      </c>
      <c r="E72" s="24">
        <v>3750200</v>
      </c>
      <c r="F72" s="24">
        <v>4343200</v>
      </c>
      <c r="G72" s="29">
        <f>G24*G68</f>
        <v>5097742.5200000005</v>
      </c>
      <c r="H72" s="29">
        <f>H24*H68</f>
        <v>6038864.216</v>
      </c>
      <c r="I72" s="29">
        <f>I24*I68</f>
        <v>6224343.6169199999</v>
      </c>
      <c r="J72" s="29">
        <f>J24*J68</f>
        <v>7440484.6005336</v>
      </c>
      <c r="K72" s="29">
        <f>K24*K68</f>
        <v>8184533.0605869601</v>
      </c>
    </row>
    <row r="73" spans="1:11">
      <c r="A73" s="32" t="s">
        <v>105</v>
      </c>
      <c r="B73" s="24">
        <f>B70-B72+B71</f>
        <v>4570500</v>
      </c>
      <c r="C73" s="24">
        <f t="shared" ref="C73:E73" si="22">C70-C72+C71</f>
        <v>2133200</v>
      </c>
      <c r="D73" s="24">
        <f t="shared" si="22"/>
        <v>5217900</v>
      </c>
      <c r="E73" s="24">
        <f t="shared" si="22"/>
        <v>4855000</v>
      </c>
      <c r="F73" s="24">
        <f>F70-F72+F71</f>
        <v>5801400</v>
      </c>
      <c r="G73" s="29">
        <f>G70-G72+G71</f>
        <v>7058412.7200000025</v>
      </c>
      <c r="H73" s="29">
        <f t="shared" ref="H73:K73" si="23">H70-H72+H71</f>
        <v>7332906.5480000004</v>
      </c>
      <c r="I73" s="29">
        <f t="shared" si="23"/>
        <v>8618321.9311200008</v>
      </c>
      <c r="J73" s="29">
        <f t="shared" si="23"/>
        <v>9034874.1577907987</v>
      </c>
      <c r="K73" s="29">
        <f t="shared" si="23"/>
        <v>9938361.5735698789</v>
      </c>
    </row>
    <row r="74" spans="1:11">
      <c r="A74" s="33" t="s">
        <v>166</v>
      </c>
      <c r="B74" s="24">
        <f>-IS!E39</f>
        <v>-331000</v>
      </c>
      <c r="C74" s="24">
        <f>-IS!F39</f>
        <v>-437000</v>
      </c>
      <c r="D74" s="24">
        <f>-IS!G39</f>
        <v>-469800</v>
      </c>
      <c r="E74" s="24">
        <f>-IS!H39</f>
        <v>-482900</v>
      </c>
      <c r="F74" s="24">
        <f>-IS!J37</f>
        <v>-550100</v>
      </c>
      <c r="G74" s="29">
        <f>-G35*WACC!$C$13</f>
        <v>-910192.6</v>
      </c>
      <c r="H74" s="29">
        <f>-H35*WACC!$C$13</f>
        <v>-860993.00000000012</v>
      </c>
      <c r="I74" s="29">
        <f>-I35*WACC!$C$13</f>
        <v>-860993.00000000012</v>
      </c>
      <c r="J74" s="29">
        <f>-J35*WACC!$C$13</f>
        <v>-860993.00000000012</v>
      </c>
      <c r="K74" s="29">
        <f>-K35*WACC!$C$13</f>
        <v>-860993.00000000012</v>
      </c>
    </row>
    <row r="75" spans="1:11">
      <c r="A75" s="32" t="s">
        <v>165</v>
      </c>
      <c r="B75" s="24">
        <f>-IS!E43-IS!E47</f>
        <v>226700</v>
      </c>
      <c r="C75" s="24">
        <f>-IS!F43-IS!F47</f>
        <v>-531800</v>
      </c>
      <c r="D75" s="24">
        <f>-IS!G43-IS!G47</f>
        <v>608800</v>
      </c>
      <c r="E75" s="24">
        <f>-IS!H43-IS!H47</f>
        <v>-140200</v>
      </c>
      <c r="F75" s="24">
        <f>-IS!I43-IS!I47</f>
        <v>150600</v>
      </c>
      <c r="G75" s="29">
        <f>(1+G36)*F75</f>
        <v>147624.29216883221</v>
      </c>
      <c r="H75" s="29">
        <f t="shared" ref="H75:K75" si="24">(1+H36)*G75</f>
        <v>144707.38139673794</v>
      </c>
      <c r="I75" s="29">
        <f t="shared" si="24"/>
        <v>141848.10591167779</v>
      </c>
      <c r="J75" s="29">
        <f t="shared" si="24"/>
        <v>139045.32689708486</v>
      </c>
      <c r="K75" s="29">
        <f t="shared" si="24"/>
        <v>136297.92803828712</v>
      </c>
    </row>
    <row r="76" spans="1:11">
      <c r="A76" s="32" t="s">
        <v>167</v>
      </c>
      <c r="B76" s="24">
        <f>B73+B74+B75</f>
        <v>4466200</v>
      </c>
      <c r="C76" s="24">
        <f t="shared" ref="C76:K76" si="25">C73+C74+C75</f>
        <v>1164400</v>
      </c>
      <c r="D76" s="24">
        <f t="shared" si="25"/>
        <v>5356900</v>
      </c>
      <c r="E76" s="24">
        <f t="shared" si="25"/>
        <v>4231900</v>
      </c>
      <c r="F76" s="24">
        <f t="shared" si="25"/>
        <v>5401900</v>
      </c>
      <c r="G76" s="29">
        <f t="shared" si="25"/>
        <v>6295844.4121688353</v>
      </c>
      <c r="H76" s="29">
        <f t="shared" si="25"/>
        <v>6616620.9293967383</v>
      </c>
      <c r="I76" s="29">
        <f t="shared" si="25"/>
        <v>7899177.0370316785</v>
      </c>
      <c r="J76" s="29">
        <f t="shared" si="25"/>
        <v>8312926.4846878834</v>
      </c>
      <c r="K76" s="29">
        <f t="shared" si="25"/>
        <v>9213666.5016081668</v>
      </c>
    </row>
    <row r="77" spans="1:11">
      <c r="A77" s="33" t="s">
        <v>168</v>
      </c>
      <c r="B77" s="24">
        <f>-IS!E65</f>
        <v>-871600</v>
      </c>
      <c r="C77" s="24">
        <f>-IS!F65</f>
        <v>-239700</v>
      </c>
      <c r="D77" s="24">
        <f>-IS!G65</f>
        <v>-1156600</v>
      </c>
      <c r="E77" s="24">
        <f>-IS!H65</f>
        <v>-948500</v>
      </c>
      <c r="F77" s="24">
        <f>-IS!I65</f>
        <v>-1277200</v>
      </c>
      <c r="G77" s="29">
        <f>-G31*G76</f>
        <v>-1259168.8824337672</v>
      </c>
      <c r="H77" s="29">
        <f>-H31*H76</f>
        <v>-1323324.1858793478</v>
      </c>
      <c r="I77" s="29">
        <f t="shared" ref="I77:K77" si="26">-I31*I76</f>
        <v>-1579835.4074063357</v>
      </c>
      <c r="J77" s="29">
        <f t="shared" si="26"/>
        <v>-1662585.2969375767</v>
      </c>
      <c r="K77" s="29">
        <f t="shared" si="26"/>
        <v>-1842733.3003216335</v>
      </c>
    </row>
    <row r="78" spans="1:11">
      <c r="A78" s="32" t="s">
        <v>169</v>
      </c>
      <c r="B78" s="24">
        <f>B76+B77</f>
        <v>3594600</v>
      </c>
      <c r="C78" s="24">
        <f t="shared" ref="C78:K78" si="27">C76+C77</f>
        <v>924700</v>
      </c>
      <c r="D78" s="24">
        <f t="shared" si="27"/>
        <v>4200300</v>
      </c>
      <c r="E78" s="24">
        <f t="shared" si="27"/>
        <v>3283400</v>
      </c>
      <c r="F78" s="24">
        <f t="shared" si="27"/>
        <v>4124700</v>
      </c>
      <c r="G78" s="29">
        <f t="shared" si="27"/>
        <v>5036675.5297350679</v>
      </c>
      <c r="H78" s="29">
        <f t="shared" si="27"/>
        <v>5293296.7435173905</v>
      </c>
      <c r="I78" s="29">
        <f t="shared" si="27"/>
        <v>6319341.6296253428</v>
      </c>
      <c r="J78" s="29">
        <f t="shared" si="27"/>
        <v>6650341.1877503069</v>
      </c>
      <c r="K78" s="29">
        <f t="shared" si="27"/>
        <v>7370933.2012865338</v>
      </c>
    </row>
    <row r="79" spans="1:11">
      <c r="A79" s="71"/>
      <c r="B79" s="16"/>
      <c r="C79" s="16"/>
      <c r="D79" s="16"/>
      <c r="E79" s="16"/>
      <c r="F79" s="16"/>
      <c r="G79" s="21"/>
      <c r="H79" s="21"/>
      <c r="I79" s="21"/>
      <c r="J79" s="21"/>
      <c r="K79" s="21"/>
    </row>
    <row r="80" spans="1:11">
      <c r="A80" s="71"/>
      <c r="B80" s="16"/>
      <c r="C80" s="16"/>
      <c r="D80" s="16"/>
      <c r="E80" s="16"/>
      <c r="F80" s="16"/>
      <c r="G80" s="21"/>
      <c r="H80" s="21"/>
      <c r="I80" s="21"/>
      <c r="J80" s="21"/>
      <c r="K80" s="21"/>
    </row>
    <row r="81" spans="1:11">
      <c r="A81" s="71"/>
      <c r="B81" s="16"/>
      <c r="C81" s="16"/>
      <c r="D81" s="16"/>
      <c r="E81" s="16"/>
      <c r="F81" s="16">
        <f>F78/1132200</f>
        <v>3.6430842607313196</v>
      </c>
      <c r="G81" s="21">
        <f>G78/1132200</f>
        <v>4.4485740414547497</v>
      </c>
      <c r="H81" s="21"/>
      <c r="I81" s="21"/>
      <c r="J81" s="21"/>
      <c r="K81" s="21"/>
    </row>
    <row r="82" spans="1:11">
      <c r="A82" s="71"/>
      <c r="B82" s="16"/>
      <c r="C82" s="16"/>
      <c r="D82" s="16"/>
      <c r="E82" s="16"/>
      <c r="F82" s="16"/>
      <c r="G82" s="114">
        <f>G81/F81-1</f>
        <v>0.22110105698234239</v>
      </c>
      <c r="H82" s="21"/>
      <c r="I82" s="21"/>
      <c r="J82" s="21"/>
      <c r="K82" s="21"/>
    </row>
    <row r="83" spans="1:11">
      <c r="A83" s="71"/>
      <c r="B83" s="16"/>
      <c r="C83" s="16"/>
      <c r="D83" s="16"/>
      <c r="E83" s="16"/>
      <c r="F83" s="16"/>
      <c r="G83" s="21"/>
      <c r="H83" s="21"/>
      <c r="I83" s="21"/>
      <c r="J83" s="21"/>
      <c r="K83" s="21"/>
    </row>
    <row r="84" spans="1:11">
      <c r="A84" s="71"/>
      <c r="B84" s="16"/>
      <c r="C84" s="16"/>
      <c r="D84" s="16"/>
      <c r="E84" s="16"/>
      <c r="F84" s="16"/>
      <c r="G84" s="21"/>
      <c r="H84" s="21"/>
      <c r="I84" s="21"/>
      <c r="J84" s="21"/>
      <c r="K84" s="21"/>
    </row>
    <row r="86" spans="1:11">
      <c r="A86" s="13" t="s">
        <v>106</v>
      </c>
    </row>
    <row r="87" spans="1:11">
      <c r="A87" s="24" t="s">
        <v>107</v>
      </c>
      <c r="B87" s="48">
        <f>B73</f>
        <v>4570500</v>
      </c>
      <c r="C87" s="48">
        <f t="shared" ref="C87:K87" si="28">C73</f>
        <v>2133200</v>
      </c>
      <c r="D87" s="48">
        <f t="shared" si="28"/>
        <v>5217900</v>
      </c>
      <c r="E87" s="48">
        <f t="shared" si="28"/>
        <v>4855000</v>
      </c>
      <c r="F87" s="48">
        <f t="shared" si="28"/>
        <v>5801400</v>
      </c>
      <c r="G87" s="29">
        <f t="shared" si="28"/>
        <v>7058412.7200000025</v>
      </c>
      <c r="H87" s="29">
        <f t="shared" si="28"/>
        <v>7332906.5480000004</v>
      </c>
      <c r="I87" s="29">
        <f t="shared" si="28"/>
        <v>8618321.9311200008</v>
      </c>
      <c r="J87" s="29">
        <f t="shared" si="28"/>
        <v>9034874.1577907987</v>
      </c>
      <c r="K87" s="29">
        <f t="shared" si="28"/>
        <v>9938361.5735698789</v>
      </c>
    </row>
    <row r="88" spans="1:11">
      <c r="A88" s="24" t="s">
        <v>108</v>
      </c>
      <c r="B88" s="48">
        <f>B87*0.15</f>
        <v>685575</v>
      </c>
      <c r="C88" s="48">
        <f t="shared" ref="C88:F88" si="29">C87*0.15</f>
        <v>319980</v>
      </c>
      <c r="D88" s="48">
        <f t="shared" si="29"/>
        <v>782685</v>
      </c>
      <c r="E88" s="48">
        <f t="shared" si="29"/>
        <v>728250</v>
      </c>
      <c r="F88" s="48">
        <f t="shared" si="29"/>
        <v>870210</v>
      </c>
      <c r="G88" s="29">
        <f>G31*G87</f>
        <v>1411682.5440000007</v>
      </c>
      <c r="H88" s="29">
        <f>H31*H87</f>
        <v>1466581.3096000003</v>
      </c>
      <c r="I88" s="29">
        <f>I31*I87</f>
        <v>1723664.3862240002</v>
      </c>
      <c r="J88" s="29">
        <f>J31*J87</f>
        <v>1806974.8315581598</v>
      </c>
      <c r="K88" s="29">
        <f>K31*K87</f>
        <v>1987672.3147139759</v>
      </c>
    </row>
    <row r="89" spans="1:11">
      <c r="A89" s="24" t="s">
        <v>109</v>
      </c>
      <c r="B89" s="48">
        <f>B87-B88</f>
        <v>3884925</v>
      </c>
      <c r="C89" s="48">
        <f t="shared" ref="C89:F89" si="30">C87-C88</f>
        <v>1813220</v>
      </c>
      <c r="D89" s="48">
        <f t="shared" si="30"/>
        <v>4435215</v>
      </c>
      <c r="E89" s="48">
        <f t="shared" si="30"/>
        <v>4126750</v>
      </c>
      <c r="F89" s="48">
        <f t="shared" si="30"/>
        <v>4931190</v>
      </c>
      <c r="G89" s="29">
        <f>G87-G88</f>
        <v>5646730.1760000018</v>
      </c>
      <c r="H89" s="29">
        <f t="shared" ref="H89:K89" si="31">H87-H88</f>
        <v>5866325.2384000001</v>
      </c>
      <c r="I89" s="29">
        <f t="shared" si="31"/>
        <v>6894657.544896001</v>
      </c>
      <c r="J89" s="29">
        <f t="shared" si="31"/>
        <v>7227899.3262326391</v>
      </c>
      <c r="K89" s="29">
        <f t="shared" si="31"/>
        <v>7950689.2588559035</v>
      </c>
    </row>
    <row r="90" spans="1:11">
      <c r="A90" s="24" t="s">
        <v>110</v>
      </c>
      <c r="B90" s="48">
        <v>1377300</v>
      </c>
      <c r="C90" s="48">
        <v>1431300</v>
      </c>
      <c r="D90" s="48">
        <v>1441700</v>
      </c>
      <c r="E90" s="48">
        <v>1447900</v>
      </c>
      <c r="F90" s="48">
        <v>1362600</v>
      </c>
      <c r="G90" s="29">
        <f>G25*G44</f>
        <v>1337585.6000000001</v>
      </c>
      <c r="H90" s="29">
        <f>H25*H44</f>
        <v>1669306.8288</v>
      </c>
      <c r="I90" s="29">
        <f>I25*I44</f>
        <v>1736079.1019520001</v>
      </c>
      <c r="J90" s="29">
        <f>J25*J44</f>
        <v>1805522.2660300799</v>
      </c>
      <c r="K90" s="29">
        <f>K25*K44</f>
        <v>1877743.1566712833</v>
      </c>
    </row>
    <row r="91" spans="1:11">
      <c r="A91" s="24" t="s">
        <v>111</v>
      </c>
      <c r="B91" s="48">
        <f t="shared" ref="B91:K91" si="32">B58</f>
        <v>0</v>
      </c>
      <c r="C91" s="48">
        <f t="shared" si="32"/>
        <v>1974700</v>
      </c>
      <c r="D91" s="48">
        <f t="shared" si="32"/>
        <v>-1241900</v>
      </c>
      <c r="E91" s="48">
        <f t="shared" si="32"/>
        <v>646300</v>
      </c>
      <c r="F91" s="48">
        <f t="shared" si="32"/>
        <v>-417300</v>
      </c>
      <c r="G91" s="29">
        <f t="shared" si="32"/>
        <v>-868417.64399999939</v>
      </c>
      <c r="H91" s="29">
        <f t="shared" si="32"/>
        <v>-239201.76440000068</v>
      </c>
      <c r="I91" s="29">
        <f t="shared" si="32"/>
        <v>-289434.13492399966</v>
      </c>
      <c r="J91" s="29">
        <f t="shared" si="32"/>
        <v>-321271.88976564026</v>
      </c>
      <c r="K91" s="29">
        <f t="shared" si="32"/>
        <v>-324192.543308964</v>
      </c>
    </row>
    <row r="92" spans="1:11">
      <c r="A92" s="24" t="s">
        <v>112</v>
      </c>
      <c r="B92" s="48">
        <f t="shared" ref="B92:K92" si="33">B59</f>
        <v>0</v>
      </c>
      <c r="C92" s="48">
        <f t="shared" si="33"/>
        <v>9375100</v>
      </c>
      <c r="D92" s="48">
        <f t="shared" si="33"/>
        <v>1671700</v>
      </c>
      <c r="E92" s="48">
        <f t="shared" si="33"/>
        <v>1418500</v>
      </c>
      <c r="F92" s="48">
        <f t="shared" si="33"/>
        <v>2586200</v>
      </c>
      <c r="G92" s="29">
        <f t="shared" si="33"/>
        <v>1576512.6</v>
      </c>
      <c r="H92" s="29">
        <f t="shared" si="33"/>
        <v>1777057.6888000013</v>
      </c>
      <c r="I92" s="29">
        <f t="shared" si="33"/>
        <v>1880167.6495519993</v>
      </c>
      <c r="J92" s="29">
        <f t="shared" si="33"/>
        <v>1985480.3495420788</v>
      </c>
      <c r="K92" s="29">
        <f t="shared" si="33"/>
        <v>2093199.1978912852</v>
      </c>
    </row>
    <row r="93" spans="1:11">
      <c r="A93" s="24" t="s">
        <v>106</v>
      </c>
      <c r="B93" s="48">
        <f>B89+B90-B91-B92</f>
        <v>5262225</v>
      </c>
      <c r="C93" s="48">
        <f t="shared" ref="C93:F93" si="34">C89+C90-C91-C92</f>
        <v>-8105280</v>
      </c>
      <c r="D93" s="48">
        <f t="shared" si="34"/>
        <v>5447115</v>
      </c>
      <c r="E93" s="48">
        <f t="shared" si="34"/>
        <v>3509850</v>
      </c>
      <c r="F93" s="48">
        <f t="shared" si="34"/>
        <v>4124890</v>
      </c>
      <c r="G93" s="29">
        <f>G89+G90-G91-G92</f>
        <v>6276220.8200000022</v>
      </c>
      <c r="H93" s="29">
        <f t="shared" ref="H93:K93" si="35">H89+H90-H91-H92</f>
        <v>5997776.1427999996</v>
      </c>
      <c r="I93" s="29">
        <f t="shared" si="35"/>
        <v>7040003.1322200019</v>
      </c>
      <c r="J93" s="29">
        <f t="shared" si="35"/>
        <v>7369213.132486281</v>
      </c>
      <c r="K93" s="29">
        <f t="shared" si="35"/>
        <v>8059425.7609448656</v>
      </c>
    </row>
    <row r="94" spans="1:11">
      <c r="A94" s="34" t="s">
        <v>113</v>
      </c>
      <c r="B94" s="48"/>
      <c r="C94" s="48"/>
      <c r="D94" s="48"/>
      <c r="E94" s="48"/>
      <c r="F94" s="48"/>
      <c r="G94" s="29"/>
      <c r="H94" s="29"/>
      <c r="I94" s="29"/>
      <c r="J94" s="29"/>
      <c r="K94" s="29">
        <f>K93*(1+tgr)/(wacc-tgr)</f>
        <v>153536733.46226582</v>
      </c>
    </row>
    <row r="95" spans="1:11">
      <c r="A95" s="24" t="s">
        <v>114</v>
      </c>
      <c r="B95" s="35"/>
      <c r="C95" s="24"/>
      <c r="D95" s="24"/>
      <c r="E95" s="24"/>
      <c r="F95" s="24"/>
      <c r="G95" s="29">
        <f>G93/(1+wacc)^G20</f>
        <v>5817757.4650820894</v>
      </c>
      <c r="H95" s="29">
        <f>H93/(1+wacc)^H20</f>
        <v>5153532.8197595309</v>
      </c>
      <c r="I95" s="29">
        <f>I93/(1+wacc)^I20</f>
        <v>5607187.0376925189</v>
      </c>
      <c r="J95" s="29">
        <f>J93/(1+wacc)^J20</f>
        <v>5440648.9538218025</v>
      </c>
      <c r="K95" s="29">
        <f>K93/(1+wacc)^K20</f>
        <v>5515578.6717776414</v>
      </c>
    </row>
    <row r="96" spans="1:11">
      <c r="A96" s="24" t="s">
        <v>115</v>
      </c>
      <c r="B96" s="24"/>
      <c r="C96" s="24"/>
      <c r="D96" s="24"/>
      <c r="E96" s="24"/>
      <c r="F96" s="24"/>
      <c r="G96" s="29"/>
      <c r="H96" s="29"/>
      <c r="I96" s="29"/>
      <c r="J96" s="29"/>
      <c r="K96" s="29">
        <f>K94/(1+wacc)^K20</f>
        <v>105074971.53489508</v>
      </c>
    </row>
    <row r="97" spans="1:2">
      <c r="A97" s="24" t="s">
        <v>116</v>
      </c>
      <c r="B97" s="24">
        <f>SUM(G95:K96)</f>
        <v>132609676.48302865</v>
      </c>
    </row>
    <row r="98" spans="1:2">
      <c r="A98" s="24" t="s">
        <v>117</v>
      </c>
      <c r="B98" s="24">
        <f>F54</f>
        <v>24599800</v>
      </c>
    </row>
    <row r="99" spans="1:2">
      <c r="A99" s="24" t="s">
        <v>118</v>
      </c>
      <c r="B99" s="24">
        <f>B97-B98+F40</f>
        <v>111962876.48302865</v>
      </c>
    </row>
    <row r="100" spans="1:2">
      <c r="A100" s="45" t="s">
        <v>119</v>
      </c>
      <c r="B100" s="73">
        <v>1136600</v>
      </c>
    </row>
    <row r="101" spans="1:2">
      <c r="A101" s="24" t="s">
        <v>120</v>
      </c>
      <c r="B101" s="36">
        <f>B99/B100</f>
        <v>98.506841881953761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C78F1-9973-8A4C-8B0F-4F282B431A18}">
  <dimension ref="A1:AD152"/>
  <sheetViews>
    <sheetView showGridLines="0" zoomScale="123" zoomScaleNormal="120" workbookViewId="0">
      <selection activeCell="B117" sqref="B117:K119"/>
    </sheetView>
  </sheetViews>
  <sheetFormatPr baseColWidth="10" defaultColWidth="10.83203125" defaultRowHeight="15"/>
  <cols>
    <col min="1" max="1" width="34.83203125" style="14" bestFit="1" customWidth="1"/>
    <col min="2" max="11" width="13.83203125" style="14" customWidth="1"/>
    <col min="12" max="12" width="10.83203125" style="15"/>
    <col min="13" max="13" width="12.6640625" style="15" bestFit="1" customWidth="1"/>
    <col min="14" max="14" width="18" style="15" customWidth="1"/>
    <col min="15" max="15" width="13.6640625" style="15" bestFit="1" customWidth="1"/>
    <col min="16" max="21" width="10.83203125" style="15"/>
    <col min="22" max="22" width="13.6640625" style="15" bestFit="1" customWidth="1"/>
    <col min="23" max="23" width="10.83203125" style="15"/>
    <col min="24" max="24" width="14.6640625" style="15" bestFit="1" customWidth="1"/>
    <col min="25" max="25" width="10.83203125" style="15"/>
    <col min="26" max="26" width="12.1640625" style="15" bestFit="1" customWidth="1"/>
    <col min="27" max="27" width="10.83203125" style="15"/>
    <col min="28" max="28" width="11.1640625" style="15" bestFit="1" customWidth="1"/>
    <col min="29" max="29" width="10.83203125" style="15"/>
    <col min="30" max="30" width="11.1640625" style="15" bestFit="1" customWidth="1"/>
    <col min="31" max="16384" width="10.83203125" style="15"/>
  </cols>
  <sheetData>
    <row r="1" spans="1:11">
      <c r="A1" s="13" t="s">
        <v>28</v>
      </c>
    </row>
    <row r="2" spans="1:11" ht="18">
      <c r="A2" s="37" t="s">
        <v>29</v>
      </c>
    </row>
    <row r="3" spans="1:11">
      <c r="A3" s="16"/>
      <c r="B3" s="16"/>
      <c r="C3" s="16"/>
      <c r="D3" s="16"/>
      <c r="E3" s="16"/>
      <c r="F3" s="16"/>
      <c r="G3" s="16"/>
      <c r="H3" s="16"/>
      <c r="I3" s="16"/>
      <c r="J3" s="16"/>
      <c r="K3" s="16"/>
    </row>
    <row r="4" spans="1:11">
      <c r="A4" s="15" t="s">
        <v>30</v>
      </c>
      <c r="B4" s="17" t="e" vm="1">
        <v>#VALUE!</v>
      </c>
      <c r="D4" s="15" t="s">
        <v>31</v>
      </c>
      <c r="E4" s="18">
        <f>B152</f>
        <v>98.506841881953761</v>
      </c>
      <c r="F4" s="15"/>
      <c r="I4" s="16"/>
      <c r="J4" s="16"/>
      <c r="K4" s="16"/>
    </row>
    <row r="5" spans="1:11">
      <c r="A5" s="15" t="s">
        <v>32</v>
      </c>
      <c r="B5" s="19"/>
      <c r="D5" s="15" t="s">
        <v>33</v>
      </c>
      <c r="E5" s="18" cm="1">
        <f t="array" ref="E5">_FV(B4,"Price")</f>
        <v>73.599999999999994</v>
      </c>
      <c r="F5" s="15"/>
    </row>
    <row r="6" spans="1:11">
      <c r="A6" s="15" t="s">
        <v>34</v>
      </c>
      <c r="B6" s="19"/>
      <c r="D6" s="15" t="s">
        <v>35</v>
      </c>
      <c r="E6" s="20">
        <f>E4/E5-1</f>
        <v>0.33840817774393717</v>
      </c>
      <c r="F6" s="15"/>
      <c r="I6" s="16"/>
      <c r="J6" s="16"/>
      <c r="K6" s="16"/>
    </row>
    <row r="7" spans="1:11">
      <c r="A7" s="16"/>
      <c r="B7" s="16"/>
      <c r="C7" s="16"/>
      <c r="D7" s="16"/>
      <c r="E7" s="16"/>
      <c r="F7" s="16"/>
      <c r="G7" s="16"/>
      <c r="H7" s="16"/>
      <c r="I7" s="16"/>
      <c r="J7" s="16"/>
      <c r="K7" s="16"/>
    </row>
    <row r="8" spans="1:11">
      <c r="A8" s="22" t="s">
        <v>36</v>
      </c>
      <c r="B8" s="23"/>
      <c r="C8" s="23"/>
      <c r="D8" s="23"/>
      <c r="E8" s="23"/>
      <c r="F8" s="23"/>
      <c r="G8" s="23"/>
      <c r="H8" s="23"/>
      <c r="I8" s="23"/>
      <c r="J8" s="23"/>
      <c r="K8" s="23"/>
    </row>
    <row r="9" spans="1:11" ht="16">
      <c r="A9" s="9" t="s">
        <v>37</v>
      </c>
      <c r="B9" s="9"/>
      <c r="C9"/>
      <c r="D9" s="9" t="s">
        <v>38</v>
      </c>
      <c r="E9"/>
      <c r="F9" s="15"/>
      <c r="G9" s="9" t="s">
        <v>39</v>
      </c>
      <c r="H9"/>
      <c r="I9"/>
      <c r="J9" s="9" t="s">
        <v>40</v>
      </c>
      <c r="K9"/>
    </row>
    <row r="10" spans="1:11" ht="16">
      <c r="A10" t="s">
        <v>41</v>
      </c>
      <c r="B10" s="12">
        <v>2</v>
      </c>
      <c r="C10"/>
      <c r="D10" t="s">
        <v>42</v>
      </c>
      <c r="E10" s="43">
        <v>7.0000000000000007E-2</v>
      </c>
      <c r="F10" s="15"/>
      <c r="G10" t="s">
        <v>42</v>
      </c>
      <c r="H10" s="43">
        <v>0.09</v>
      </c>
      <c r="I10"/>
      <c r="J10" t="s">
        <v>42</v>
      </c>
      <c r="K10" s="43">
        <v>0.11</v>
      </c>
    </row>
    <row r="11" spans="1:11" ht="16">
      <c r="A11" t="s">
        <v>43</v>
      </c>
      <c r="B11" s="12">
        <v>2</v>
      </c>
      <c r="C11"/>
      <c r="D11" t="s">
        <v>44</v>
      </c>
      <c r="E11" s="43">
        <v>7.0000000000000007E-2</v>
      </c>
      <c r="F11" s="15"/>
      <c r="G11" t="s">
        <v>44</v>
      </c>
      <c r="H11" s="43">
        <v>0.1</v>
      </c>
      <c r="I11"/>
      <c r="J11" t="s">
        <v>44</v>
      </c>
      <c r="K11" s="43">
        <v>0.12</v>
      </c>
    </row>
    <row r="12" spans="1:11" ht="16">
      <c r="A12" t="s">
        <v>45</v>
      </c>
      <c r="B12" s="12">
        <v>2</v>
      </c>
      <c r="C12"/>
      <c r="D12" t="s">
        <v>46</v>
      </c>
      <c r="E12" s="43">
        <v>6.5000000000000002E-2</v>
      </c>
      <c r="F12" s="15"/>
      <c r="G12" t="s">
        <v>46</v>
      </c>
      <c r="H12" s="43">
        <v>0.11</v>
      </c>
      <c r="I12"/>
      <c r="J12" t="s">
        <v>46</v>
      </c>
      <c r="K12" s="43">
        <v>0.13</v>
      </c>
    </row>
    <row r="13" spans="1:11" ht="16">
      <c r="C13"/>
      <c r="D13" t="s">
        <v>47</v>
      </c>
      <c r="E13" s="43">
        <v>0.06</v>
      </c>
      <c r="F13" s="15"/>
      <c r="G13" t="s">
        <v>47</v>
      </c>
      <c r="H13" s="43">
        <v>0.1</v>
      </c>
      <c r="I13"/>
      <c r="J13" t="s">
        <v>47</v>
      </c>
      <c r="K13" s="43">
        <v>0.12</v>
      </c>
    </row>
    <row r="14" spans="1:11" ht="16">
      <c r="A14" t="s">
        <v>42</v>
      </c>
      <c r="B14" s="72" cm="1">
        <f t="array" ref="B14">_xlfn.SWITCH(B10,1,E10,2,H10,3,K10)</f>
        <v>0.09</v>
      </c>
      <c r="C14"/>
      <c r="D14"/>
      <c r="E14"/>
      <c r="F14" s="15"/>
      <c r="G14"/>
      <c r="H14"/>
      <c r="I14"/>
      <c r="J14" s="15"/>
      <c r="K14" s="15"/>
    </row>
    <row r="15" spans="1:11" ht="16">
      <c r="A15" t="s">
        <v>44</v>
      </c>
      <c r="B15" s="72" cm="1">
        <f t="array" ref="B15">_xlfn.SWITCH(B10,1,E11,2,H11,3,K11)</f>
        <v>0.1</v>
      </c>
      <c r="C15"/>
      <c r="D15" t="s">
        <v>43</v>
      </c>
      <c r="E15" s="82">
        <f>WACC!B3</f>
        <v>8.0485630598429656E-2</v>
      </c>
      <c r="F15" s="15"/>
      <c r="G15" t="s">
        <v>43</v>
      </c>
      <c r="H15" s="82">
        <f>WACC!C3</f>
        <v>7.8804136760527999E-2</v>
      </c>
      <c r="I15"/>
      <c r="J15" t="s">
        <v>43</v>
      </c>
      <c r="K15" s="82">
        <f>WACC!D3</f>
        <v>7.7853671628641555E-2</v>
      </c>
    </row>
    <row r="16" spans="1:11" ht="16">
      <c r="A16" t="s">
        <v>46</v>
      </c>
      <c r="B16" s="72" cm="1">
        <f t="array" ref="B16">_xlfn.SWITCH(B10,1,E12,2,H12,3,K12)</f>
        <v>0.11</v>
      </c>
      <c r="C16"/>
      <c r="D16" t="s">
        <v>48</v>
      </c>
      <c r="E16" s="43">
        <v>0.02</v>
      </c>
      <c r="F16" s="15"/>
      <c r="G16" t="s">
        <v>48</v>
      </c>
      <c r="H16" s="43">
        <v>2.5000000000000001E-2</v>
      </c>
      <c r="I16"/>
      <c r="J16" t="s">
        <v>48</v>
      </c>
      <c r="K16" s="44">
        <v>0.03</v>
      </c>
    </row>
    <row r="17" spans="1:11" ht="16">
      <c r="A17" t="s">
        <v>47</v>
      </c>
      <c r="B17" s="72" cm="1">
        <f t="array" ref="B17">_xlfn.SWITCH(B10,1,E13,2,H13,3,K13)</f>
        <v>0.1</v>
      </c>
      <c r="C17" s="15"/>
      <c r="D17" s="15"/>
      <c r="E17" s="15"/>
      <c r="F17" s="15"/>
      <c r="G17" s="15"/>
      <c r="H17" s="15"/>
      <c r="I17" s="15"/>
      <c r="J17" s="15"/>
      <c r="K17" s="15"/>
    </row>
    <row r="18" spans="1:11" ht="16">
      <c r="A18" t="s">
        <v>43</v>
      </c>
      <c r="B18" s="72" cm="1">
        <f t="array" ref="B18">_xlfn.SWITCH(B11,1,E15,2,H15,3,K15)</f>
        <v>7.8804136760527999E-2</v>
      </c>
      <c r="C18" s="16"/>
      <c r="D18" s="16"/>
      <c r="E18" s="16"/>
      <c r="F18" s="16"/>
      <c r="G18" s="21"/>
      <c r="H18" s="21"/>
      <c r="I18" s="21"/>
      <c r="J18" s="21"/>
      <c r="K18" s="21"/>
    </row>
    <row r="19" spans="1:11" ht="16">
      <c r="A19" t="s">
        <v>48</v>
      </c>
      <c r="B19" s="72" cm="1">
        <f t="array" ref="B19">_xlfn.SWITCH(B12,1,E16,2,H16,3,K16)</f>
        <v>2.5000000000000001E-2</v>
      </c>
      <c r="C19" s="16"/>
      <c r="D19" s="16"/>
      <c r="E19" s="16"/>
      <c r="F19" s="16"/>
      <c r="G19" s="21"/>
      <c r="H19" s="21"/>
      <c r="I19" s="21"/>
      <c r="J19" s="21"/>
      <c r="K19" s="21"/>
    </row>
    <row r="20" spans="1:11" ht="16" thickBot="1">
      <c r="A20" s="15"/>
      <c r="B20" s="15"/>
      <c r="C20" s="16"/>
      <c r="D20" s="16"/>
      <c r="E20" s="16"/>
      <c r="F20" s="16"/>
      <c r="G20" s="38">
        <v>1</v>
      </c>
      <c r="H20" s="38">
        <v>2</v>
      </c>
      <c r="I20" s="38">
        <v>3</v>
      </c>
      <c r="J20" s="38">
        <v>4</v>
      </c>
      <c r="K20" s="38">
        <v>5</v>
      </c>
    </row>
    <row r="21" spans="1:11" ht="16">
      <c r="A21" s="200" t="s">
        <v>170</v>
      </c>
      <c r="B21" s="201" t="s">
        <v>50</v>
      </c>
      <c r="C21" s="201" t="s">
        <v>51</v>
      </c>
      <c r="D21" s="201" t="s">
        <v>52</v>
      </c>
      <c r="E21" s="201" t="s">
        <v>53</v>
      </c>
      <c r="F21" s="201" t="s">
        <v>54</v>
      </c>
      <c r="G21" s="202" t="s">
        <v>55</v>
      </c>
      <c r="H21" s="202" t="s">
        <v>56</v>
      </c>
      <c r="I21" s="202" t="s">
        <v>57</v>
      </c>
      <c r="J21" s="202" t="s">
        <v>58</v>
      </c>
      <c r="K21" s="203" t="s">
        <v>59</v>
      </c>
    </row>
    <row r="22" spans="1:11">
      <c r="A22" s="204" t="s">
        <v>171</v>
      </c>
      <c r="B22" s="25">
        <v>7.0000000000000007E-2</v>
      </c>
      <c r="C22" s="25">
        <f>C116/B116-1</f>
        <v>-0.11281621813298326</v>
      </c>
      <c r="D22" s="25">
        <f t="shared" ref="D22:F22" si="0">D116/C116-1</f>
        <v>0.23567480227910531</v>
      </c>
      <c r="E22" s="25">
        <f t="shared" si="0"/>
        <v>0.10976029400631782</v>
      </c>
      <c r="F22" s="198">
        <f t="shared" si="0"/>
        <v>0.11551210376337595</v>
      </c>
      <c r="G22" s="26">
        <f>B14</f>
        <v>0.09</v>
      </c>
      <c r="H22" s="26">
        <f>B15</f>
        <v>0.1</v>
      </c>
      <c r="I22" s="26">
        <f>B16</f>
        <v>0.11</v>
      </c>
      <c r="J22" s="26">
        <f>B16</f>
        <v>0.11</v>
      </c>
      <c r="K22" s="205">
        <f>B17</f>
        <v>0.1</v>
      </c>
    </row>
    <row r="23" spans="1:11">
      <c r="A23" s="204" t="s">
        <v>61</v>
      </c>
      <c r="B23" s="25">
        <f>B120/B116</f>
        <v>0.71752186083007019</v>
      </c>
      <c r="C23" s="25">
        <f t="shared" ref="C23:F23" si="1">C120/C116</f>
        <v>0.78488391870056973</v>
      </c>
      <c r="D23" s="25">
        <f t="shared" si="1"/>
        <v>0.71065291150217136</v>
      </c>
      <c r="E23" s="25">
        <f>E120/E116</f>
        <v>0.74043342232475362</v>
      </c>
      <c r="F23" s="198">
        <f t="shared" si="1"/>
        <v>0.72630894272784885</v>
      </c>
      <c r="G23" s="26">
        <v>0.7</v>
      </c>
      <c r="H23" s="26">
        <v>0.7</v>
      </c>
      <c r="I23" s="26">
        <v>0.7</v>
      </c>
      <c r="J23" s="26">
        <v>0.7</v>
      </c>
      <c r="K23" s="205">
        <v>0.7</v>
      </c>
    </row>
    <row r="24" spans="1:11">
      <c r="A24" s="204" t="s">
        <v>62</v>
      </c>
      <c r="B24" s="25">
        <f>B123/B116</f>
        <v>0.1213040296356654</v>
      </c>
      <c r="C24" s="25">
        <f t="shared" ref="C24:F24" si="2">C123/C116</f>
        <v>0.13812399013521559</v>
      </c>
      <c r="D24" s="25">
        <f t="shared" si="2"/>
        <v>0.12305320605906278</v>
      </c>
      <c r="E24" s="25">
        <f t="shared" si="2"/>
        <v>0.11628418960443779</v>
      </c>
      <c r="F24" s="198">
        <f t="shared" si="2"/>
        <v>0.12072627002746306</v>
      </c>
      <c r="G24" s="27">
        <v>0.13</v>
      </c>
      <c r="H24" s="27">
        <v>0.14000000000000001</v>
      </c>
      <c r="I24" s="27">
        <v>0.13</v>
      </c>
      <c r="J24" s="27">
        <v>0.14000000000000001</v>
      </c>
      <c r="K24" s="206">
        <v>0.14000000000000001</v>
      </c>
    </row>
    <row r="25" spans="1:11">
      <c r="A25" s="204" t="s">
        <v>63</v>
      </c>
      <c r="B25" s="25">
        <f>B141/B93</f>
        <v>9.6493501944162258E-2</v>
      </c>
      <c r="C25" s="25">
        <f>C141/C93</f>
        <v>6.4214379929473209E-2</v>
      </c>
      <c r="D25" s="25">
        <f>D141/D93</f>
        <v>6.2506503416461454E-2</v>
      </c>
      <c r="E25" s="25">
        <f>E141/E93</f>
        <v>6.128573484470104E-2</v>
      </c>
      <c r="F25" s="198">
        <f>F141/F93</f>
        <v>5.2972460229835011E-2</v>
      </c>
      <c r="G25" s="26">
        <v>0.05</v>
      </c>
      <c r="H25" s="26">
        <v>0.06</v>
      </c>
      <c r="I25" s="26">
        <v>0.06</v>
      </c>
      <c r="J25" s="26">
        <v>0.06</v>
      </c>
      <c r="K25" s="205">
        <v>0.06</v>
      </c>
    </row>
    <row r="26" spans="1:11">
      <c r="A26" s="204" t="s">
        <v>64</v>
      </c>
      <c r="B26" s="25">
        <f>B90/B120</f>
        <v>8.0407980862753345E-2</v>
      </c>
      <c r="C26" s="25">
        <f>C90/C120</f>
        <v>8.4046178266310556E-2</v>
      </c>
      <c r="D26" s="25">
        <f>D90/D120</f>
        <v>7.7663180321518491E-2</v>
      </c>
      <c r="E26" s="25">
        <f>E90/E120</f>
        <v>9.1150457301752155E-2</v>
      </c>
      <c r="F26" s="198">
        <f>F90/F120</f>
        <v>6.9132854179583147E-2</v>
      </c>
      <c r="G26" s="26">
        <v>7.0000000000000007E-2</v>
      </c>
      <c r="H26" s="26">
        <v>7.0000000000000007E-2</v>
      </c>
      <c r="I26" s="26">
        <v>7.0000000000000007E-2</v>
      </c>
      <c r="J26" s="26">
        <v>7.0000000000000007E-2</v>
      </c>
      <c r="K26" s="205">
        <v>7.0000000000000007E-2</v>
      </c>
    </row>
    <row r="27" spans="1:11">
      <c r="A27" s="204" t="s">
        <v>65</v>
      </c>
      <c r="B27" s="25">
        <f>B89/B116</f>
        <v>3.3166594991813979E-2</v>
      </c>
      <c r="C27" s="25">
        <f>C89/C116</f>
        <v>3.7562717918190325E-2</v>
      </c>
      <c r="D27" s="25">
        <f>D89/D116</f>
        <v>3.2346200697852073E-2</v>
      </c>
      <c r="E27" s="25">
        <f>E89/E116</f>
        <v>3.6449273340092958E-2</v>
      </c>
      <c r="F27" s="198">
        <f>F89/F116</f>
        <v>3.2913975027518652E-2</v>
      </c>
      <c r="G27" s="26">
        <v>0.03</v>
      </c>
      <c r="H27" s="26">
        <v>0.03</v>
      </c>
      <c r="I27" s="26">
        <v>0.03</v>
      </c>
      <c r="J27" s="26">
        <v>0.03</v>
      </c>
      <c r="K27" s="205">
        <v>0.03</v>
      </c>
    </row>
    <row r="28" spans="1:11">
      <c r="A28" s="204" t="s">
        <v>66</v>
      </c>
      <c r="B28" s="25">
        <f>B99/B120</f>
        <v>0.25730133277253492</v>
      </c>
      <c r="C28" s="25">
        <f>C99/C120</f>
        <v>0.15957072198234998</v>
      </c>
      <c r="D28" s="25">
        <f>D99/D120</f>
        <v>0.20804280457098587</v>
      </c>
      <c r="E28" s="25">
        <f>E99/E120</f>
        <v>0.18670642232570606</v>
      </c>
      <c r="F28" s="198">
        <f>F99/F120</f>
        <v>0.17275942042297182</v>
      </c>
      <c r="G28" s="26">
        <v>0.2</v>
      </c>
      <c r="H28" s="26">
        <v>0.2</v>
      </c>
      <c r="I28" s="26">
        <v>0.2</v>
      </c>
      <c r="J28" s="26">
        <v>0.2</v>
      </c>
      <c r="K28" s="205">
        <v>0.2</v>
      </c>
    </row>
    <row r="29" spans="1:11">
      <c r="A29" s="204" t="s">
        <v>67</v>
      </c>
      <c r="B29" s="25">
        <f>B88/B116</f>
        <v>0.10400775597353312</v>
      </c>
      <c r="C29" s="25">
        <f>C88/C116</f>
        <v>0.19695977549111318</v>
      </c>
      <c r="D29" s="25">
        <f>D88/D116</f>
        <v>0.22772757616842049</v>
      </c>
      <c r="E29" s="25">
        <f>E88/E116</f>
        <v>9.8693655562893987E-2</v>
      </c>
      <c r="F29" s="198">
        <f>F88/F116</f>
        <v>0.10988002979797418</v>
      </c>
      <c r="G29" s="26">
        <v>0.1</v>
      </c>
      <c r="H29" s="26">
        <v>0.13</v>
      </c>
      <c r="I29" s="26">
        <v>0.14000000000000001</v>
      </c>
      <c r="J29" s="26">
        <v>0.15</v>
      </c>
      <c r="K29" s="205">
        <v>0.17</v>
      </c>
    </row>
    <row r="30" spans="1:11">
      <c r="A30" s="204" t="s">
        <v>68</v>
      </c>
      <c r="B30" s="24">
        <v>0</v>
      </c>
      <c r="C30" s="25">
        <f>C93/B93-1</f>
        <v>0.56159316215364141</v>
      </c>
      <c r="D30" s="25">
        <f t="shared" ref="D30:F30" si="3">D93/C93-1</f>
        <v>3.4787836370651526E-2</v>
      </c>
      <c r="E30" s="25">
        <f t="shared" si="3"/>
        <v>2.4305435121917407E-2</v>
      </c>
      <c r="F30" s="198">
        <f t="shared" si="3"/>
        <v>8.8777332870554559E-2</v>
      </c>
      <c r="G30" s="26">
        <v>0.04</v>
      </c>
      <c r="H30" s="26">
        <v>0.04</v>
      </c>
      <c r="I30" s="26">
        <v>0.04</v>
      </c>
      <c r="J30" s="26">
        <v>0.04</v>
      </c>
      <c r="K30" s="205">
        <v>0.04</v>
      </c>
    </row>
    <row r="31" spans="1:11">
      <c r="A31" s="204" t="s">
        <v>172</v>
      </c>
      <c r="B31" s="25">
        <v>0.19515471765706865</v>
      </c>
      <c r="C31" s="25">
        <v>0.20585709378220543</v>
      </c>
      <c r="D31" s="25">
        <v>0.21590845451660476</v>
      </c>
      <c r="E31" s="25">
        <v>0.22413100498594013</v>
      </c>
      <c r="F31" s="198">
        <v>0.23643532831040931</v>
      </c>
      <c r="G31" s="26">
        <v>0.2</v>
      </c>
      <c r="H31" s="26">
        <v>0.2</v>
      </c>
      <c r="I31" s="26">
        <v>0.2</v>
      </c>
      <c r="J31" s="26">
        <v>0.2</v>
      </c>
      <c r="K31" s="205">
        <v>0.2</v>
      </c>
    </row>
    <row r="32" spans="1:11">
      <c r="A32" s="204" t="s">
        <v>70</v>
      </c>
      <c r="B32" s="24">
        <v>0</v>
      </c>
      <c r="C32" s="25">
        <f>C91/B91-1</f>
        <v>0.51474805407619817</v>
      </c>
      <c r="D32" s="25">
        <f>D91/C91-1</f>
        <v>-0.1959432048681542</v>
      </c>
      <c r="E32" s="25">
        <f>E91/D91-1</f>
        <v>-0.18651194080053812</v>
      </c>
      <c r="F32" s="198">
        <f>F91/E91-1</f>
        <v>-0.25594376679760178</v>
      </c>
      <c r="G32" s="26">
        <v>-0.2</v>
      </c>
      <c r="H32" s="26">
        <v>-0.2</v>
      </c>
      <c r="I32" s="26">
        <v>-0.2</v>
      </c>
      <c r="J32" s="26">
        <v>-0.2</v>
      </c>
      <c r="K32" s="205">
        <v>-0.2</v>
      </c>
    </row>
    <row r="33" spans="1:11">
      <c r="A33" s="204" t="s">
        <v>71</v>
      </c>
      <c r="B33" s="25">
        <f>B122/B116</f>
        <v>1.1241634790219023E-2</v>
      </c>
      <c r="C33" s="25">
        <f t="shared" ref="C33:F33" si="4">C122/C116</f>
        <v>1.3712900756867081E-2</v>
      </c>
      <c r="D33" s="25">
        <f t="shared" si="4"/>
        <v>1.3258501200938728E-2</v>
      </c>
      <c r="E33" s="25">
        <f t="shared" si="4"/>
        <v>7.2588472045221281E-3</v>
      </c>
      <c r="F33" s="198">
        <f t="shared" si="4"/>
        <v>8.2945107239351112E-3</v>
      </c>
      <c r="G33" s="27">
        <v>0.01</v>
      </c>
      <c r="H33" s="27">
        <v>0.01</v>
      </c>
      <c r="I33" s="27">
        <v>0.01</v>
      </c>
      <c r="J33" s="27">
        <v>0.01</v>
      </c>
      <c r="K33" s="206">
        <v>0.01</v>
      </c>
    </row>
    <row r="34" spans="1:11">
      <c r="A34" s="204" t="s">
        <v>72</v>
      </c>
      <c r="B34" s="24">
        <v>0</v>
      </c>
      <c r="C34" s="25">
        <f>C104/B104-1</f>
        <v>-7.5059458526907319E-2</v>
      </c>
      <c r="D34" s="25">
        <f>D104/C104-1</f>
        <v>-4.0635242079458567E-2</v>
      </c>
      <c r="E34" s="25">
        <f>E104/D104-1</f>
        <v>-4.313409621153208E-2</v>
      </c>
      <c r="F34" s="198">
        <f>F104/E104-1</f>
        <v>-3.9853705262546835E-2</v>
      </c>
      <c r="G34" s="27">
        <v>-0.04</v>
      </c>
      <c r="H34" s="27">
        <v>-0.04</v>
      </c>
      <c r="I34" s="27">
        <v>-0.04</v>
      </c>
      <c r="J34" s="27">
        <v>-0.04</v>
      </c>
      <c r="K34" s="206">
        <v>-0.04</v>
      </c>
    </row>
    <row r="35" spans="1:11">
      <c r="A35" s="204" t="s">
        <v>173</v>
      </c>
      <c r="B35" s="24">
        <v>0</v>
      </c>
      <c r="C35" s="24">
        <v>0</v>
      </c>
      <c r="D35" s="24">
        <v>0</v>
      </c>
      <c r="E35" s="24">
        <v>0</v>
      </c>
      <c r="F35" s="24">
        <v>0</v>
      </c>
      <c r="G35" s="27">
        <f>WACC!C17</f>
        <v>3.6999999999999998E-2</v>
      </c>
      <c r="H35" s="27">
        <v>3.5000000000000003E-2</v>
      </c>
      <c r="I35" s="27">
        <v>3.5000000000000003E-2</v>
      </c>
      <c r="J35" s="27">
        <v>3.5000000000000003E-2</v>
      </c>
      <c r="K35" s="206">
        <v>3.5000000000000003E-2</v>
      </c>
    </row>
    <row r="36" spans="1:11" ht="16" thickBot="1">
      <c r="A36" s="211" t="s">
        <v>165</v>
      </c>
      <c r="B36" s="269">
        <v>0.495820271682341</v>
      </c>
      <c r="C36" s="269">
        <v>0.58860103626942994</v>
      </c>
      <c r="D36" s="269">
        <v>-1.26952141057934</v>
      </c>
      <c r="E36" s="269">
        <v>-7.6581576026637094E-2</v>
      </c>
      <c r="F36" s="270">
        <v>0.162886597938144</v>
      </c>
      <c r="G36" s="271">
        <v>-1.9759016143212401E-2</v>
      </c>
      <c r="H36" s="271">
        <v>-1.9759016143212401E-2</v>
      </c>
      <c r="I36" s="271">
        <v>-1.9759016143212401E-2</v>
      </c>
      <c r="J36" s="271">
        <v>-1.9759016143212401E-2</v>
      </c>
      <c r="K36" s="272">
        <v>-1.9759016143212401E-2</v>
      </c>
    </row>
    <row r="37" spans="1:11">
      <c r="A37" s="207"/>
      <c r="B37" s="84"/>
      <c r="C37" s="84"/>
      <c r="D37" s="84"/>
      <c r="E37" s="84"/>
      <c r="F37" s="84"/>
      <c r="G37" s="240"/>
      <c r="H37" s="240"/>
      <c r="I37" s="240"/>
      <c r="J37" s="240"/>
      <c r="K37" s="268"/>
    </row>
    <row r="38" spans="1:11">
      <c r="A38" s="207"/>
      <c r="B38" s="84"/>
      <c r="C38" s="84"/>
      <c r="D38" s="84"/>
      <c r="E38" s="84"/>
      <c r="F38" s="84"/>
      <c r="G38" s="27"/>
      <c r="H38" s="27"/>
      <c r="I38" s="27"/>
      <c r="J38" s="27"/>
      <c r="K38" s="206"/>
    </row>
    <row r="39" spans="1:11">
      <c r="A39" s="207" t="s">
        <v>36</v>
      </c>
      <c r="B39" s="84"/>
      <c r="C39" s="84"/>
      <c r="D39" s="84"/>
      <c r="E39" s="84"/>
      <c r="F39" s="84"/>
      <c r="G39" s="27"/>
      <c r="H39" s="27"/>
      <c r="I39" s="27"/>
      <c r="J39" s="27"/>
      <c r="K39" s="206"/>
    </row>
    <row r="40" spans="1:11">
      <c r="A40" s="207" t="s">
        <v>174</v>
      </c>
      <c r="B40" s="84"/>
      <c r="C40" s="84"/>
      <c r="D40" s="84"/>
      <c r="E40" s="84"/>
      <c r="F40" s="84"/>
      <c r="G40" s="27"/>
      <c r="H40" s="27"/>
      <c r="I40" s="27"/>
      <c r="J40" s="27"/>
      <c r="K40" s="206"/>
    </row>
    <row r="41" spans="1:11">
      <c r="A41" s="226" t="s">
        <v>175</v>
      </c>
      <c r="B41" s="84">
        <v>0.04</v>
      </c>
      <c r="C41" s="84"/>
      <c r="D41" s="84"/>
      <c r="E41" s="84"/>
      <c r="F41" s="84">
        <f>F48/E48-1</f>
        <v>4.0328895849647717E-2</v>
      </c>
      <c r="G41" s="27">
        <v>4.0000000000000036E-2</v>
      </c>
      <c r="H41" s="27">
        <v>4.0000000000000036E-2</v>
      </c>
      <c r="I41" s="27">
        <v>4.0000000000000036E-2</v>
      </c>
      <c r="J41" s="27">
        <v>4.0000000000000036E-2</v>
      </c>
      <c r="K41" s="206">
        <v>4.0000000000000036E-2</v>
      </c>
    </row>
    <row r="42" spans="1:11">
      <c r="A42" s="227" t="s">
        <v>176</v>
      </c>
      <c r="B42" s="84">
        <v>0.13</v>
      </c>
      <c r="C42" s="84"/>
      <c r="D42" s="84"/>
      <c r="E42" s="84"/>
      <c r="F42" s="84">
        <f>F49/E49-1</f>
        <v>0.13042033560392086</v>
      </c>
      <c r="G42" s="27">
        <v>0.13000000000000012</v>
      </c>
      <c r="H42" s="27">
        <v>4.0000000000000036E-2</v>
      </c>
      <c r="I42" s="27">
        <v>4.0000000000000036E-2</v>
      </c>
      <c r="J42" s="27">
        <v>3.9999999999999813E-2</v>
      </c>
      <c r="K42" s="206">
        <v>4.0000000000000036E-2</v>
      </c>
    </row>
    <row r="43" spans="1:11">
      <c r="A43" s="227" t="s">
        <v>177</v>
      </c>
      <c r="B43" s="84">
        <v>7.0000000000000007E-2</v>
      </c>
      <c r="C43" s="84"/>
      <c r="D43" s="84"/>
      <c r="E43" s="84"/>
      <c r="F43" s="84">
        <f t="shared" ref="F43" si="5">F50/E50-1</f>
        <v>7.036669970267595E-2</v>
      </c>
      <c r="G43" s="27">
        <v>6.999999999999984E-2</v>
      </c>
      <c r="H43" s="27">
        <v>7.0000000000000062E-2</v>
      </c>
      <c r="I43" s="27">
        <v>7.0000000000000062E-2</v>
      </c>
      <c r="J43" s="27">
        <v>7.0000000000000062E-2</v>
      </c>
      <c r="K43" s="27">
        <v>7.0000000000000062E-2</v>
      </c>
    </row>
    <row r="44" spans="1:11">
      <c r="A44" s="207"/>
      <c r="B44" s="84"/>
      <c r="C44" s="84"/>
      <c r="D44" s="84"/>
      <c r="E44" s="84"/>
      <c r="F44" s="84"/>
      <c r="G44" s="27"/>
      <c r="H44" s="27"/>
      <c r="I44" s="27"/>
      <c r="J44" s="27"/>
      <c r="K44" s="27"/>
    </row>
    <row r="45" spans="1:11">
      <c r="A45" s="207" t="s">
        <v>178</v>
      </c>
      <c r="B45" s="84"/>
      <c r="C45" s="84"/>
      <c r="D45" s="84"/>
      <c r="E45" s="84"/>
      <c r="F45" s="84"/>
      <c r="G45" s="27"/>
      <c r="H45" s="27"/>
      <c r="I45" s="27"/>
      <c r="J45" s="27"/>
      <c r="K45" s="27"/>
    </row>
    <row r="46" spans="1:11">
      <c r="A46" s="207" t="s">
        <v>179</v>
      </c>
      <c r="B46" s="84"/>
      <c r="C46" s="84"/>
      <c r="D46" s="84"/>
      <c r="E46" s="84"/>
      <c r="F46" s="229"/>
      <c r="G46" s="27"/>
      <c r="H46" s="27"/>
      <c r="I46" s="27"/>
      <c r="J46" s="27"/>
      <c r="K46" s="27"/>
    </row>
    <row r="47" spans="1:11">
      <c r="A47" s="16" t="s">
        <v>174</v>
      </c>
      <c r="B47" s="84"/>
      <c r="C47" s="84"/>
      <c r="D47" s="84"/>
      <c r="E47" s="84"/>
      <c r="F47" s="229"/>
      <c r="G47" s="230"/>
      <c r="H47" s="230"/>
      <c r="I47" s="230"/>
      <c r="J47" s="230"/>
      <c r="K47" s="231"/>
    </row>
    <row r="48" spans="1:11">
      <c r="A48" s="226" t="s">
        <v>175</v>
      </c>
      <c r="B48" s="84"/>
      <c r="C48" s="84"/>
      <c r="D48" s="84"/>
      <c r="E48" s="229">
        <v>10216</v>
      </c>
      <c r="F48" s="229">
        <v>10628</v>
      </c>
      <c r="G48" s="212">
        <v>11053.12</v>
      </c>
      <c r="H48" s="212">
        <v>11495.2448</v>
      </c>
      <c r="I48" s="212">
        <v>11955.054592</v>
      </c>
      <c r="J48" s="212">
        <v>12433.25677568</v>
      </c>
      <c r="K48" s="234">
        <v>12930.5870467072</v>
      </c>
    </row>
    <row r="49" spans="1:11">
      <c r="A49" s="227" t="s">
        <v>176</v>
      </c>
      <c r="B49" s="84"/>
      <c r="C49" s="84"/>
      <c r="D49" s="84"/>
      <c r="E49" s="239">
        <v>6019</v>
      </c>
      <c r="F49" s="229">
        <v>6804</v>
      </c>
      <c r="G49" s="212">
        <v>7688.52</v>
      </c>
      <c r="H49" s="212">
        <v>7996.0608000000002</v>
      </c>
      <c r="I49" s="212">
        <v>8315.9032320000006</v>
      </c>
      <c r="J49" s="212">
        <v>8648.5393612799999</v>
      </c>
      <c r="K49" s="234">
        <v>8994.4809357312006</v>
      </c>
    </row>
    <row r="50" spans="1:11">
      <c r="A50" s="227" t="s">
        <v>177</v>
      </c>
      <c r="B50" s="84"/>
      <c r="C50" s="84"/>
      <c r="D50" s="84"/>
      <c r="E50" s="239">
        <v>2018</v>
      </c>
      <c r="F50" s="229">
        <v>2160</v>
      </c>
      <c r="G50" s="212">
        <v>2311.1999999999998</v>
      </c>
      <c r="H50" s="212">
        <v>2472.9839999999999</v>
      </c>
      <c r="I50" s="212">
        <v>2571.9033599999998</v>
      </c>
      <c r="J50" s="212">
        <v>2674.7794943999997</v>
      </c>
      <c r="K50" s="234">
        <v>2781.7706741759998</v>
      </c>
    </row>
    <row r="51" spans="1:11">
      <c r="B51" s="84"/>
      <c r="C51" s="84"/>
      <c r="D51" s="84"/>
      <c r="E51" s="84"/>
      <c r="F51" s="229">
        <f>SUM(F48:F50)</f>
        <v>19592</v>
      </c>
      <c r="G51" s="212">
        <f>SUM(G48:G50)</f>
        <v>21052.84</v>
      </c>
      <c r="H51" s="212">
        <f t="shared" ref="H51:K51" si="6">SUM(H48:H50)</f>
        <v>21964.2896</v>
      </c>
      <c r="I51" s="212">
        <f t="shared" si="6"/>
        <v>22842.861184000001</v>
      </c>
      <c r="J51" s="212">
        <f t="shared" si="6"/>
        <v>23756.57563136</v>
      </c>
      <c r="K51" s="212">
        <f t="shared" si="6"/>
        <v>24706.8386566144</v>
      </c>
    </row>
    <row r="52" spans="1:11">
      <c r="A52" s="207"/>
      <c r="B52" s="84"/>
      <c r="C52" s="84"/>
      <c r="D52" s="84"/>
      <c r="E52" s="84"/>
      <c r="F52" s="229"/>
      <c r="G52" s="27"/>
      <c r="H52" s="212"/>
      <c r="I52" s="212"/>
      <c r="J52" s="212"/>
      <c r="K52" s="236"/>
    </row>
    <row r="53" spans="1:11">
      <c r="A53" s="16" t="s">
        <v>180</v>
      </c>
      <c r="B53" s="84"/>
      <c r="C53" s="84"/>
      <c r="D53" s="84"/>
      <c r="E53" s="84"/>
      <c r="F53" s="24"/>
      <c r="G53" s="212"/>
      <c r="H53" s="212"/>
      <c r="I53" s="212"/>
      <c r="J53" s="212"/>
      <c r="K53" s="236"/>
    </row>
    <row r="54" spans="1:11">
      <c r="A54" s="226" t="s">
        <v>175</v>
      </c>
      <c r="B54" s="84"/>
      <c r="C54" s="84"/>
      <c r="D54" s="84"/>
      <c r="E54" s="84"/>
      <c r="F54" s="14">
        <v>23905400</v>
      </c>
      <c r="G54" s="212">
        <f>G48*$G$58</f>
        <v>16954029.406059619</v>
      </c>
      <c r="H54" s="212">
        <f>H48*$H$58</f>
        <v>18690122.017240122</v>
      </c>
      <c r="I54" s="212">
        <f>I48*$I$58</f>
        <v>20798367.780784804</v>
      </c>
      <c r="J54" s="212">
        <f>J48*$J$58</f>
        <v>23144423.666457333</v>
      </c>
      <c r="K54" s="236">
        <f>K48*$K$58</f>
        <v>25514412.649902564</v>
      </c>
    </row>
    <row r="55" spans="1:11">
      <c r="A55" s="227" t="s">
        <v>176</v>
      </c>
      <c r="B55" s="84"/>
      <c r="C55" s="84"/>
      <c r="D55" s="84"/>
      <c r="E55" s="84"/>
      <c r="F55" s="328">
        <v>5556900</v>
      </c>
      <c r="G55" s="212">
        <f>G49*$G$58</f>
        <v>11793176.42159657</v>
      </c>
      <c r="H55" s="212">
        <f t="shared" ref="H55:H56" si="7">H49*$H$58</f>
        <v>13000797.687168058</v>
      </c>
      <c r="I55" s="212">
        <f t="shared" ref="I55:I56" si="8">I49*$I$58</f>
        <v>14467287.666280616</v>
      </c>
      <c r="J55" s="212">
        <f t="shared" ref="J55:J56" si="9">J49*$J$58</f>
        <v>16099197.715037068</v>
      </c>
      <c r="K55" s="236">
        <f t="shared" ref="K55:K56" si="10">K49*$K$58</f>
        <v>17747755.561056864</v>
      </c>
    </row>
    <row r="56" spans="1:11">
      <c r="A56" s="227" t="s">
        <v>177</v>
      </c>
      <c r="B56" s="84"/>
      <c r="C56" s="84"/>
      <c r="D56" s="84"/>
      <c r="E56" s="84"/>
      <c r="F56" s="328"/>
      <c r="G56" s="212">
        <f t="shared" ref="G56" si="11">G50*$G$58</f>
        <v>3545076.2104532458</v>
      </c>
      <c r="H56" s="212">
        <f t="shared" si="7"/>
        <v>4020825.4378960715</v>
      </c>
      <c r="I56" s="212">
        <f t="shared" si="8"/>
        <v>4474374.547290748</v>
      </c>
      <c r="J56" s="212">
        <f t="shared" si="9"/>
        <v>4979083.9962251447</v>
      </c>
      <c r="K56" s="236">
        <f t="shared" si="10"/>
        <v>5488942.1974385995</v>
      </c>
    </row>
    <row r="57" spans="1:11">
      <c r="A57" s="237" t="s">
        <v>181</v>
      </c>
      <c r="B57" s="84"/>
      <c r="C57" s="84"/>
      <c r="D57" s="84"/>
      <c r="E57" s="84"/>
      <c r="F57" s="214">
        <f>SUM(F54:F56)</f>
        <v>29462300</v>
      </c>
      <c r="G57" s="212">
        <f>SUM(G54:G56)</f>
        <v>32292282.038109433</v>
      </c>
      <c r="H57" s="212">
        <f t="shared" ref="H57:K57" si="12">SUM(H54:H56)</f>
        <v>35711745.142304249</v>
      </c>
      <c r="I57" s="212">
        <f t="shared" si="12"/>
        <v>39740029.99435617</v>
      </c>
      <c r="J57" s="212">
        <f t="shared" si="12"/>
        <v>44222705.377719551</v>
      </c>
      <c r="K57" s="212">
        <f t="shared" si="12"/>
        <v>48751110.408398025</v>
      </c>
    </row>
    <row r="58" spans="1:11">
      <c r="A58" s="14" t="s">
        <v>182</v>
      </c>
      <c r="B58" s="84"/>
      <c r="C58" s="84"/>
      <c r="D58" s="84"/>
      <c r="E58" s="84"/>
      <c r="F58" s="229">
        <f>F57/F51</f>
        <v>1503.7923642302981</v>
      </c>
      <c r="G58" s="212">
        <f>0.02*F58+F58</f>
        <v>1533.868211514904</v>
      </c>
      <c r="H58" s="212">
        <f>0.06*G58+G58</f>
        <v>1625.9003042057982</v>
      </c>
      <c r="I58" s="212">
        <f>0.07*H58+H58</f>
        <v>1739.7133255002041</v>
      </c>
      <c r="J58" s="212">
        <f>0.07*I58+I58</f>
        <v>1861.4932582852184</v>
      </c>
      <c r="K58" s="212">
        <f>0.06*J58+J58</f>
        <v>1973.1828537823314</v>
      </c>
    </row>
    <row r="59" spans="1:11">
      <c r="B59" s="84"/>
      <c r="C59" s="84"/>
      <c r="D59" s="84"/>
      <c r="E59" s="84"/>
      <c r="F59" s="229"/>
      <c r="G59" s="27">
        <f>G58/F58-1</f>
        <v>2.0000000000000018E-2</v>
      </c>
      <c r="H59" s="27">
        <f t="shared" ref="H59:K59" si="13">H58/G58-1</f>
        <v>6.0000000000000053E-2</v>
      </c>
      <c r="I59" s="27">
        <f t="shared" si="13"/>
        <v>7.0000000000000062E-2</v>
      </c>
      <c r="J59" s="27">
        <f t="shared" si="13"/>
        <v>7.0000000000000062E-2</v>
      </c>
      <c r="K59" s="27">
        <f t="shared" si="13"/>
        <v>6.0000000000000053E-2</v>
      </c>
    </row>
    <row r="60" spans="1:11">
      <c r="A60" s="207" t="s">
        <v>183</v>
      </c>
      <c r="B60" s="84"/>
      <c r="C60" s="84"/>
      <c r="D60" s="84"/>
      <c r="E60" s="84"/>
      <c r="F60" s="232"/>
      <c r="G60" s="233"/>
      <c r="H60" s="233"/>
      <c r="I60" s="233"/>
      <c r="J60" s="233"/>
      <c r="K60" s="235"/>
    </row>
    <row r="61" spans="1:11">
      <c r="A61" s="16"/>
      <c r="B61" s="84"/>
      <c r="C61" s="84"/>
      <c r="D61" s="84"/>
      <c r="E61" s="84"/>
      <c r="F61" s="232"/>
      <c r="G61" s="233"/>
      <c r="H61" s="233"/>
      <c r="I61" s="233"/>
      <c r="J61" s="233"/>
      <c r="K61" s="235"/>
    </row>
    <row r="62" spans="1:11">
      <c r="A62" s="16"/>
      <c r="B62" s="84"/>
      <c r="C62" s="84"/>
      <c r="D62" s="84"/>
      <c r="E62" s="84"/>
      <c r="F62" s="84">
        <f>F67/E67-1</f>
        <v>1.4550077694589714E-2</v>
      </c>
      <c r="G62" s="27">
        <f>G67/F67-1</f>
        <v>4.0000000000000036E-2</v>
      </c>
      <c r="H62" s="27">
        <f t="shared" ref="H62:K62" si="14">H67/G67-1</f>
        <v>4.0000000000000036E-2</v>
      </c>
      <c r="I62" s="27">
        <f t="shared" si="14"/>
        <v>4.0000000000000036E-2</v>
      </c>
      <c r="J62" s="27">
        <f t="shared" si="14"/>
        <v>4.0000000000000036E-2</v>
      </c>
      <c r="K62" s="27">
        <f t="shared" si="14"/>
        <v>4.0000000000000036E-2</v>
      </c>
    </row>
    <row r="63" spans="1:11">
      <c r="A63" s="16"/>
      <c r="B63" s="84"/>
      <c r="C63" s="84"/>
      <c r="D63" s="84"/>
      <c r="E63" s="84"/>
      <c r="F63" s="84">
        <v>0</v>
      </c>
      <c r="G63" s="27">
        <v>0</v>
      </c>
      <c r="H63" s="27">
        <v>0</v>
      </c>
      <c r="I63" s="27">
        <v>0</v>
      </c>
      <c r="J63" s="27">
        <v>0</v>
      </c>
      <c r="K63" s="27">
        <v>0</v>
      </c>
    </row>
    <row r="64" spans="1:11">
      <c r="A64" s="16"/>
      <c r="B64" s="84"/>
      <c r="C64" s="84"/>
      <c r="D64" s="84"/>
      <c r="E64" s="84"/>
      <c r="F64" s="84">
        <f>F70/E70-1</f>
        <v>5.6592965975484022E-2</v>
      </c>
      <c r="G64" s="27">
        <f>G69/F69-1</f>
        <v>7.0000000000000062E-2</v>
      </c>
      <c r="H64" s="27">
        <f t="shared" ref="H64:K64" si="15">H69/G69-1</f>
        <v>7.0000000000000062E-2</v>
      </c>
      <c r="I64" s="27">
        <f t="shared" si="15"/>
        <v>7.0000000000000062E-2</v>
      </c>
      <c r="J64" s="27">
        <f t="shared" si="15"/>
        <v>7.0000000000000062E-2</v>
      </c>
      <c r="K64" s="27">
        <f t="shared" si="15"/>
        <v>7.0000000000000062E-2</v>
      </c>
    </row>
    <row r="65" spans="1:11">
      <c r="A65" s="16"/>
      <c r="B65" s="84"/>
      <c r="C65" s="84"/>
      <c r="D65" s="84"/>
      <c r="E65" s="84"/>
      <c r="F65" s="232"/>
      <c r="G65" s="233"/>
      <c r="H65" s="233"/>
      <c r="I65" s="233"/>
      <c r="J65" s="233"/>
      <c r="K65" s="235"/>
    </row>
    <row r="66" spans="1:11">
      <c r="A66" s="16" t="s">
        <v>184</v>
      </c>
      <c r="B66" s="84"/>
      <c r="C66" s="84"/>
      <c r="D66" s="84"/>
      <c r="E66" s="84"/>
      <c r="F66" s="219"/>
      <c r="G66" s="233"/>
      <c r="H66" s="233"/>
      <c r="I66" s="233"/>
      <c r="J66" s="233"/>
      <c r="K66" s="235"/>
    </row>
    <row r="67" spans="1:11">
      <c r="A67" s="226" t="s">
        <v>175</v>
      </c>
      <c r="B67" s="84"/>
      <c r="C67" s="84"/>
      <c r="D67" s="84"/>
      <c r="E67" s="229">
        <v>7079</v>
      </c>
      <c r="F67" s="219">
        <v>7182</v>
      </c>
      <c r="G67" s="212">
        <v>7469.28</v>
      </c>
      <c r="H67" s="212">
        <v>7768.0511999999999</v>
      </c>
      <c r="I67" s="212">
        <v>8078.7732479999995</v>
      </c>
      <c r="J67" s="212">
        <v>8401.9241779200001</v>
      </c>
      <c r="K67" s="234">
        <v>8738.0011450368002</v>
      </c>
    </row>
    <row r="68" spans="1:11">
      <c r="A68" s="227" t="s">
        <v>176</v>
      </c>
      <c r="B68" s="84"/>
      <c r="C68" s="84"/>
      <c r="D68" s="84"/>
      <c r="E68" s="229">
        <v>0</v>
      </c>
      <c r="F68" s="219">
        <v>0</v>
      </c>
      <c r="G68" s="212">
        <v>0</v>
      </c>
      <c r="H68" s="212">
        <v>0</v>
      </c>
      <c r="I68" s="212">
        <v>0</v>
      </c>
      <c r="J68" s="212">
        <v>0</v>
      </c>
      <c r="K68" s="234">
        <v>0</v>
      </c>
    </row>
    <row r="69" spans="1:11">
      <c r="A69" s="227" t="s">
        <v>177</v>
      </c>
      <c r="B69" s="84"/>
      <c r="C69" s="84"/>
      <c r="D69" s="84"/>
      <c r="E69" s="229">
        <v>10379</v>
      </c>
      <c r="F69" s="219">
        <v>11264</v>
      </c>
      <c r="G69" s="212">
        <v>12052.48</v>
      </c>
      <c r="H69" s="212">
        <v>12896.1536</v>
      </c>
      <c r="I69" s="212">
        <v>13798.884351999999</v>
      </c>
      <c r="J69" s="212">
        <v>14764.806256639999</v>
      </c>
      <c r="K69" s="234">
        <v>15798.342694604798</v>
      </c>
    </row>
    <row r="70" spans="1:11">
      <c r="A70" s="207"/>
      <c r="B70" s="84"/>
      <c r="C70" s="84"/>
      <c r="D70" s="84"/>
      <c r="E70" s="219">
        <f>SUM(E67:E69)</f>
        <v>17458</v>
      </c>
      <c r="F70" s="219">
        <f>SUM(F67:F69)</f>
        <v>18446</v>
      </c>
      <c r="G70" s="212">
        <f>SUM(G67:G69)</f>
        <v>19521.759999999998</v>
      </c>
      <c r="H70" s="212">
        <f t="shared" ref="H70:K70" si="16">SUM(H67:H69)</f>
        <v>20664.2048</v>
      </c>
      <c r="I70" s="212">
        <f t="shared" si="16"/>
        <v>21877.657599999999</v>
      </c>
      <c r="J70" s="212">
        <f t="shared" si="16"/>
        <v>23166.730434559999</v>
      </c>
      <c r="K70" s="212">
        <f t="shared" si="16"/>
        <v>24536.343839641599</v>
      </c>
    </row>
    <row r="71" spans="1:11">
      <c r="A71" s="207" t="s">
        <v>183</v>
      </c>
      <c r="B71" s="84"/>
      <c r="C71" s="84"/>
      <c r="D71" s="84"/>
      <c r="E71" s="84"/>
      <c r="F71" s="84"/>
      <c r="G71" s="27"/>
      <c r="H71" s="27"/>
      <c r="I71" s="27"/>
      <c r="J71" s="27"/>
      <c r="K71" s="206"/>
    </row>
    <row r="72" spans="1:11">
      <c r="A72" s="16" t="s">
        <v>180</v>
      </c>
      <c r="B72" s="84"/>
      <c r="C72" s="84"/>
      <c r="D72" s="84"/>
      <c r="E72" s="84"/>
      <c r="F72" s="232">
        <f>SUM(F73:F75)</f>
        <v>4512700</v>
      </c>
      <c r="G72" s="27"/>
      <c r="H72" s="27"/>
      <c r="I72" s="27"/>
      <c r="J72" s="27"/>
      <c r="K72" s="206"/>
    </row>
    <row r="73" spans="1:11">
      <c r="A73" s="226" t="s">
        <v>175</v>
      </c>
      <c r="B73" s="84"/>
      <c r="C73" s="84"/>
      <c r="D73" s="84"/>
      <c r="E73" s="84"/>
      <c r="F73" s="229">
        <v>2659100</v>
      </c>
      <c r="G73" s="212">
        <f>G67*$G$77</f>
        <v>1863859.4954526725</v>
      </c>
      <c r="H73" s="212">
        <f>H67*$H$77</f>
        <v>1996566.2915289027</v>
      </c>
      <c r="I73" s="212">
        <f>I67*$I$77</f>
        <v>2159486.1009176611</v>
      </c>
      <c r="J73" s="212">
        <f>J67*$J$77</f>
        <v>2335700.1667525428</v>
      </c>
      <c r="K73" s="212">
        <f>K67*$K$77</f>
        <v>2502002.0186253237</v>
      </c>
    </row>
    <row r="74" spans="1:11">
      <c r="A74" s="227" t="s">
        <v>176</v>
      </c>
      <c r="B74" s="84"/>
      <c r="C74" s="84"/>
      <c r="D74" s="84"/>
      <c r="E74" s="84"/>
      <c r="F74" s="329">
        <v>1853600</v>
      </c>
      <c r="G74" s="212">
        <f>G68*$G$77</f>
        <v>0</v>
      </c>
      <c r="H74" s="212">
        <f t="shared" ref="H74:H75" si="17">H68*$H$77</f>
        <v>0</v>
      </c>
      <c r="I74" s="212">
        <f t="shared" ref="I74:I75" si="18">I68*$I$77</f>
        <v>0</v>
      </c>
      <c r="J74" s="212">
        <f t="shared" ref="J74:J75" si="19">J68*$J$77</f>
        <v>0</v>
      </c>
      <c r="K74" s="212">
        <f t="shared" ref="K74:K75" si="20">K68*$K$77</f>
        <v>0</v>
      </c>
    </row>
    <row r="75" spans="1:11">
      <c r="A75" s="227" t="s">
        <v>177</v>
      </c>
      <c r="B75" s="84"/>
      <c r="C75" s="84"/>
      <c r="D75" s="84"/>
      <c r="E75" s="84"/>
      <c r="F75" s="329"/>
      <c r="G75" s="212">
        <f>G69*$G$77</f>
        <v>3007536.1067938847</v>
      </c>
      <c r="H75" s="212">
        <f t="shared" si="17"/>
        <v>3314605.5432975404</v>
      </c>
      <c r="I75" s="212">
        <f t="shared" si="18"/>
        <v>3688493.0485815029</v>
      </c>
      <c r="J75" s="212">
        <f t="shared" si="19"/>
        <v>4104555.0644614962</v>
      </c>
      <c r="K75" s="212">
        <f t="shared" si="20"/>
        <v>4523630.136543015</v>
      </c>
    </row>
    <row r="76" spans="1:11">
      <c r="A76" s="237" t="s">
        <v>181</v>
      </c>
      <c r="B76" s="84"/>
      <c r="C76" s="84"/>
      <c r="D76" s="84"/>
      <c r="E76" s="84"/>
      <c r="F76" s="84"/>
      <c r="G76" s="27"/>
      <c r="H76" s="27"/>
      <c r="I76" s="27"/>
      <c r="J76" s="27"/>
      <c r="K76" s="206"/>
    </row>
    <row r="77" spans="1:11">
      <c r="A77" s="14" t="s">
        <v>182</v>
      </c>
      <c r="B77" s="84"/>
      <c r="C77" s="84"/>
      <c r="D77" s="84"/>
      <c r="E77" s="84"/>
      <c r="F77" s="228">
        <f>F72/F70</f>
        <v>244.6438252195598</v>
      </c>
      <c r="G77" s="212">
        <f>0.02*F77+F77</f>
        <v>249.53670172395098</v>
      </c>
      <c r="H77" s="212">
        <f>0.03*G77+G77</f>
        <v>257.0228027756695</v>
      </c>
      <c r="I77" s="212">
        <f>0.04*H77+H77</f>
        <v>267.3037148866963</v>
      </c>
      <c r="J77" s="212">
        <f>0.04*I77+I77</f>
        <v>277.99586348216417</v>
      </c>
      <c r="K77" s="212">
        <f t="shared" ref="K77" si="21">0.03*J77+J77</f>
        <v>286.33573938662909</v>
      </c>
    </row>
    <row r="78" spans="1:11">
      <c r="A78" s="207"/>
      <c r="B78" s="84"/>
      <c r="C78" s="84"/>
      <c r="D78" s="84"/>
      <c r="E78" s="84"/>
      <c r="F78" s="84"/>
      <c r="G78" s="27">
        <f>G77/F77-1</f>
        <v>2.0000000000000018E-2</v>
      </c>
      <c r="H78" s="27">
        <f t="shared" ref="H78" si="22">H77/G77-1</f>
        <v>3.0000000000000027E-2</v>
      </c>
      <c r="I78" s="27">
        <f t="shared" ref="I78" si="23">I77/H77-1</f>
        <v>4.0000000000000036E-2</v>
      </c>
      <c r="J78" s="27">
        <f t="shared" ref="J78" si="24">J77/I77-1</f>
        <v>4.0000000000000036E-2</v>
      </c>
      <c r="K78" s="27">
        <f t="shared" ref="K78" si="25">K77/J77-1</f>
        <v>3.0000000000000027E-2</v>
      </c>
    </row>
    <row r="79" spans="1:11">
      <c r="A79" s="207"/>
      <c r="B79" s="84"/>
      <c r="C79" s="84"/>
      <c r="D79" s="84"/>
      <c r="E79" s="84"/>
      <c r="F79" s="84"/>
      <c r="G79" s="27"/>
      <c r="H79" s="27"/>
      <c r="I79" s="27"/>
      <c r="J79" s="27"/>
      <c r="K79" s="238"/>
    </row>
    <row r="80" spans="1:11">
      <c r="A80" s="207"/>
      <c r="B80" s="84"/>
      <c r="C80" s="84"/>
      <c r="D80" s="84"/>
      <c r="E80" s="84"/>
      <c r="F80" s="229">
        <v>2000600</v>
      </c>
      <c r="G80" s="212">
        <v>2049726.3596440097</v>
      </c>
      <c r="H80" s="212">
        <v>2111827.4228693061</v>
      </c>
      <c r="I80" s="212">
        <v>2291557.1401446601</v>
      </c>
      <c r="J80" s="212">
        <v>2483357.9663064033</v>
      </c>
      <c r="K80" s="236">
        <v>2684207.8691976303</v>
      </c>
    </row>
    <row r="81" spans="1:11">
      <c r="A81" s="207"/>
      <c r="B81" s="84"/>
      <c r="C81" s="84"/>
      <c r="D81" s="84"/>
      <c r="E81" s="84"/>
      <c r="F81" s="84"/>
      <c r="G81" s="27">
        <f>G80/F80-1</f>
        <v>2.4555813078081412E-2</v>
      </c>
      <c r="H81" s="27">
        <f t="shared" ref="H81:K81" si="26">H80/G80-1</f>
        <v>3.0297245743613255E-2</v>
      </c>
      <c r="I81" s="27">
        <f t="shared" si="26"/>
        <v>8.5106252210305211E-2</v>
      </c>
      <c r="J81" s="27">
        <f t="shared" si="26"/>
        <v>8.3698906216074231E-2</v>
      </c>
      <c r="K81" s="27">
        <f t="shared" si="26"/>
        <v>8.0878353268561964E-2</v>
      </c>
    </row>
    <row r="82" spans="1:11">
      <c r="A82" s="207"/>
      <c r="B82" s="84"/>
      <c r="C82" s="84"/>
      <c r="D82" s="84"/>
      <c r="E82" s="84"/>
      <c r="F82" s="84"/>
      <c r="G82" s="27"/>
      <c r="H82" s="27"/>
      <c r="I82" s="27"/>
      <c r="J82" s="27"/>
      <c r="K82" s="238"/>
    </row>
    <row r="83" spans="1:11">
      <c r="A83" s="207"/>
      <c r="B83" s="84"/>
      <c r="C83" s="84"/>
      <c r="D83" s="84"/>
      <c r="E83" s="84"/>
      <c r="F83" s="84"/>
      <c r="G83" s="27"/>
      <c r="H83" s="27"/>
      <c r="I83" s="27"/>
      <c r="J83" s="27"/>
      <c r="K83" s="238"/>
    </row>
    <row r="84" spans="1:11">
      <c r="A84" s="207"/>
      <c r="B84" s="84"/>
      <c r="C84" s="84"/>
      <c r="D84" s="84"/>
      <c r="E84" s="84"/>
      <c r="F84" s="84"/>
      <c r="G84" s="27"/>
      <c r="H84" s="27"/>
      <c r="I84" s="27"/>
      <c r="J84" s="27"/>
      <c r="K84" s="238"/>
    </row>
    <row r="85" spans="1:11">
      <c r="A85" s="207"/>
      <c r="B85" s="84"/>
      <c r="C85" s="84"/>
      <c r="D85" s="84"/>
      <c r="E85" s="84"/>
      <c r="F85" s="84"/>
      <c r="G85" s="27"/>
      <c r="H85" s="27"/>
      <c r="I85" s="27"/>
      <c r="J85" s="27"/>
      <c r="K85" s="238"/>
    </row>
    <row r="86" spans="1:11">
      <c r="A86" s="208" t="s">
        <v>73</v>
      </c>
      <c r="B86" s="16"/>
      <c r="C86" s="16"/>
      <c r="D86" s="16"/>
      <c r="E86" s="16"/>
      <c r="F86" s="16"/>
      <c r="G86" s="24"/>
      <c r="H86" s="24"/>
      <c r="I86" s="24"/>
      <c r="J86" s="24"/>
      <c r="K86" s="209"/>
    </row>
    <row r="87" spans="1:11">
      <c r="A87" s="208" t="s">
        <v>185</v>
      </c>
      <c r="B87" s="16"/>
      <c r="C87" s="16"/>
      <c r="D87" s="16"/>
      <c r="E87" s="16"/>
      <c r="F87" s="16"/>
      <c r="G87" s="24"/>
      <c r="H87" s="24"/>
      <c r="I87" s="24"/>
      <c r="J87" s="24"/>
      <c r="K87" s="209"/>
    </row>
    <row r="88" spans="1:11">
      <c r="A88" s="204" t="s">
        <v>74</v>
      </c>
      <c r="B88" s="24">
        <v>2757100</v>
      </c>
      <c r="C88" s="24">
        <v>4632100</v>
      </c>
      <c r="D88" s="24">
        <v>6617900</v>
      </c>
      <c r="E88" s="24">
        <v>3182900</v>
      </c>
      <c r="F88" s="199">
        <v>3953000</v>
      </c>
      <c r="G88" s="180">
        <f>G29*G116</f>
        <v>3921340.4000000004</v>
      </c>
      <c r="H88" s="180">
        <f>H29*H116</f>
        <v>5607516.7719999999</v>
      </c>
      <c r="I88" s="180">
        <f>I29*I116</f>
        <v>6703139.2797600003</v>
      </c>
      <c r="J88" s="180">
        <f>J29*J116</f>
        <v>7971947.7862859983</v>
      </c>
      <c r="K88" s="210">
        <f>K29*K116</f>
        <v>9938361.5735698789</v>
      </c>
    </row>
    <row r="89" spans="1:11">
      <c r="A89" s="204" t="s">
        <v>75</v>
      </c>
      <c r="B89" s="24">
        <v>879200</v>
      </c>
      <c r="C89" s="24">
        <v>883400</v>
      </c>
      <c r="D89" s="24">
        <v>940000</v>
      </c>
      <c r="E89" s="24">
        <v>1175500</v>
      </c>
      <c r="F89" s="199">
        <v>1184100</v>
      </c>
      <c r="G89" s="180">
        <f>G27*G116</f>
        <v>1176402.1199999999</v>
      </c>
      <c r="H89" s="180">
        <f>H27*H116</f>
        <v>1294042.3319999999</v>
      </c>
      <c r="I89" s="180">
        <f>I27*I116</f>
        <v>1436386.9885199997</v>
      </c>
      <c r="J89" s="180">
        <f>J27*J116</f>
        <v>1594389.5572571997</v>
      </c>
      <c r="K89" s="210">
        <f>K27*K116</f>
        <v>1753828.5129829198</v>
      </c>
    </row>
    <row r="90" spans="1:11">
      <c r="A90" s="204" t="s">
        <v>76</v>
      </c>
      <c r="B90" s="24">
        <v>1529400</v>
      </c>
      <c r="C90" s="24">
        <v>1551400</v>
      </c>
      <c r="D90" s="24">
        <v>1603900</v>
      </c>
      <c r="E90" s="24">
        <v>2176600</v>
      </c>
      <c r="F90" s="199">
        <v>1806400</v>
      </c>
      <c r="G90" s="180">
        <f>G26*G120</f>
        <v>1921456.7960000001</v>
      </c>
      <c r="H90" s="180">
        <f>H26*H120</f>
        <v>2113602.4756</v>
      </c>
      <c r="I90" s="180">
        <f>I26*I120</f>
        <v>2346098.747916</v>
      </c>
      <c r="J90" s="180">
        <f>J26*J120</f>
        <v>2604169.6101867598</v>
      </c>
      <c r="K90" s="210">
        <f>K26*K120</f>
        <v>2864586.5712054358</v>
      </c>
    </row>
    <row r="91" spans="1:11">
      <c r="A91" s="204" t="s">
        <v>77</v>
      </c>
      <c r="B91" s="24">
        <v>488200</v>
      </c>
      <c r="C91" s="24">
        <v>739500</v>
      </c>
      <c r="D91" s="24">
        <v>594600</v>
      </c>
      <c r="E91" s="24">
        <v>483700</v>
      </c>
      <c r="F91" s="199">
        <v>359900</v>
      </c>
      <c r="G91" s="180">
        <f>F91*G32+F91</f>
        <v>287920</v>
      </c>
      <c r="H91" s="180">
        <f>G91*H32+G91</f>
        <v>230336</v>
      </c>
      <c r="I91" s="180">
        <f>H91*I32+H91</f>
        <v>184268.79999999999</v>
      </c>
      <c r="J91" s="180">
        <f>I91*J32+I91</f>
        <v>147415.03999999998</v>
      </c>
      <c r="K91" s="210">
        <f>J91*K32+J91</f>
        <v>117932.03199999998</v>
      </c>
    </row>
    <row r="92" spans="1:11" s="225" customFormat="1">
      <c r="A92" s="221" t="s">
        <v>94</v>
      </c>
      <c r="B92" s="222">
        <f>SUM(B88:B91)</f>
        <v>5653900</v>
      </c>
      <c r="C92" s="222">
        <f t="shared" ref="C92:K92" si="27">SUM(C88:C91)</f>
        <v>7806400</v>
      </c>
      <c r="D92" s="222">
        <f t="shared" si="27"/>
        <v>9756400</v>
      </c>
      <c r="E92" s="222">
        <f t="shared" si="27"/>
        <v>7018700</v>
      </c>
      <c r="F92" s="222">
        <f t="shared" si="27"/>
        <v>7303400</v>
      </c>
      <c r="G92" s="223">
        <f t="shared" si="27"/>
        <v>7307119.3160000006</v>
      </c>
      <c r="H92" s="223">
        <f t="shared" si="27"/>
        <v>9245497.5796000008</v>
      </c>
      <c r="I92" s="223">
        <f t="shared" si="27"/>
        <v>10669893.816196</v>
      </c>
      <c r="J92" s="223">
        <f t="shared" si="27"/>
        <v>12317921.993729956</v>
      </c>
      <c r="K92" s="224">
        <f t="shared" si="27"/>
        <v>14674708.689758234</v>
      </c>
    </row>
    <row r="93" spans="1:11">
      <c r="A93" s="204" t="s">
        <v>78</v>
      </c>
      <c r="B93" s="24">
        <v>14273500</v>
      </c>
      <c r="C93" s="24">
        <v>22289400</v>
      </c>
      <c r="D93" s="24">
        <v>23064800</v>
      </c>
      <c r="E93" s="24">
        <v>23625400</v>
      </c>
      <c r="F93" s="199">
        <v>25722800</v>
      </c>
      <c r="G93" s="180">
        <f>F93*(1+G30)</f>
        <v>26751712</v>
      </c>
      <c r="H93" s="180">
        <f>G93*(1+H30)</f>
        <v>27821780.48</v>
      </c>
      <c r="I93" s="180">
        <f>H93*(1+I30)</f>
        <v>28934651.699200001</v>
      </c>
      <c r="J93" s="180">
        <f>I93*(1+J30)</f>
        <v>30092037.767168</v>
      </c>
      <c r="K93" s="210">
        <f>J93*(1+K30)</f>
        <v>31295719.277854722</v>
      </c>
    </row>
    <row r="94" spans="1:11">
      <c r="A94" s="204" t="s">
        <v>79</v>
      </c>
      <c r="B94" s="24">
        <v>7841800</v>
      </c>
      <c r="C94" s="24">
        <v>7913900</v>
      </c>
      <c r="D94" s="24">
        <v>8459300</v>
      </c>
      <c r="E94" s="24">
        <v>9049300</v>
      </c>
      <c r="F94" s="199">
        <v>9923100</v>
      </c>
      <c r="G94" s="180">
        <f>F94+G25*F95</f>
        <v>10713085</v>
      </c>
      <c r="H94" s="180">
        <f>G94+H25*G95</f>
        <v>11675402.619999999</v>
      </c>
      <c r="I94" s="180">
        <f>H94+I25*H95</f>
        <v>12644185.2916</v>
      </c>
      <c r="J94" s="180">
        <f>I94+J25*I95</f>
        <v>13621613.276056001</v>
      </c>
      <c r="K94" s="210">
        <f>J94+K25*J95</f>
        <v>14609838.745522721</v>
      </c>
    </row>
    <row r="95" spans="1:11">
      <c r="A95" s="204" t="s">
        <v>80</v>
      </c>
      <c r="B95" s="24">
        <f>B93-B94</f>
        <v>6431700</v>
      </c>
      <c r="C95" s="24">
        <f t="shared" ref="C95:K95" si="28">C93-C94</f>
        <v>14375500</v>
      </c>
      <c r="D95" s="24">
        <f t="shared" si="28"/>
        <v>14605500</v>
      </c>
      <c r="E95" s="24">
        <f t="shared" si="28"/>
        <v>14576100</v>
      </c>
      <c r="F95" s="199">
        <f t="shared" si="28"/>
        <v>15799700</v>
      </c>
      <c r="G95" s="180">
        <f t="shared" si="28"/>
        <v>16038627</v>
      </c>
      <c r="H95" s="180">
        <f t="shared" si="28"/>
        <v>16146377.860000001</v>
      </c>
      <c r="I95" s="180">
        <f t="shared" si="28"/>
        <v>16290466.407600001</v>
      </c>
      <c r="J95" s="180">
        <f t="shared" si="28"/>
        <v>16470424.491111999</v>
      </c>
      <c r="K95" s="210">
        <f t="shared" si="28"/>
        <v>16685880.532332001</v>
      </c>
    </row>
    <row r="96" spans="1:11">
      <c r="A96" s="204" t="s">
        <v>81</v>
      </c>
      <c r="B96" s="24">
        <v>220000</v>
      </c>
      <c r="C96" s="24">
        <v>206100</v>
      </c>
      <c r="D96" s="24">
        <v>281700</v>
      </c>
      <c r="E96" s="24">
        <v>279100</v>
      </c>
      <c r="F96" s="199">
        <v>247400</v>
      </c>
      <c r="G96" s="180">
        <v>2744400</v>
      </c>
      <c r="H96" s="180">
        <v>2744400</v>
      </c>
      <c r="I96" s="180">
        <v>2744400</v>
      </c>
      <c r="J96" s="180">
        <v>2744400</v>
      </c>
      <c r="K96" s="210">
        <v>2744400</v>
      </c>
    </row>
    <row r="97" spans="1:15">
      <c r="A97" s="204" t="s">
        <v>82</v>
      </c>
      <c r="B97" s="24">
        <v>6914000</v>
      </c>
      <c r="C97" s="24">
        <v>6986500</v>
      </c>
      <c r="D97" s="24">
        <v>6749000</v>
      </c>
      <c r="E97" s="24">
        <v>6104500</v>
      </c>
      <c r="F97" s="199">
        <v>6095000</v>
      </c>
      <c r="G97" s="180">
        <v>6095000</v>
      </c>
      <c r="H97" s="180">
        <v>6095000</v>
      </c>
      <c r="I97" s="180">
        <v>6095000</v>
      </c>
      <c r="J97" s="180">
        <v>6095000</v>
      </c>
      <c r="K97" s="210">
        <v>6095000</v>
      </c>
    </row>
    <row r="98" spans="1:15" s="225" customFormat="1">
      <c r="A98" s="221" t="s">
        <v>98</v>
      </c>
      <c r="B98" s="222">
        <f>B92+B95+B96+B97</f>
        <v>19219600</v>
      </c>
      <c r="C98" s="222">
        <f t="shared" ref="C98:K98" si="29">C92+C95+C96+C97</f>
        <v>29374500</v>
      </c>
      <c r="D98" s="222">
        <f t="shared" si="29"/>
        <v>31392600</v>
      </c>
      <c r="E98" s="222">
        <f t="shared" si="29"/>
        <v>27978400</v>
      </c>
      <c r="F98" s="222">
        <f t="shared" si="29"/>
        <v>29445500</v>
      </c>
      <c r="G98" s="223">
        <f t="shared" si="29"/>
        <v>32185146.316</v>
      </c>
      <c r="H98" s="223">
        <f t="shared" si="29"/>
        <v>34231275.439600006</v>
      </c>
      <c r="I98" s="223">
        <f t="shared" si="29"/>
        <v>35799760.223796003</v>
      </c>
      <c r="J98" s="223">
        <f t="shared" si="29"/>
        <v>37627746.484841958</v>
      </c>
      <c r="K98" s="223">
        <f t="shared" si="29"/>
        <v>40199989.222090237</v>
      </c>
    </row>
    <row r="99" spans="1:15">
      <c r="A99" s="204" t="s">
        <v>83</v>
      </c>
      <c r="B99" s="24">
        <v>4894000</v>
      </c>
      <c r="C99" s="24">
        <v>2945500</v>
      </c>
      <c r="D99" s="24">
        <v>4296500</v>
      </c>
      <c r="E99" s="24">
        <v>4458400</v>
      </c>
      <c r="F99" s="199">
        <v>4514100</v>
      </c>
      <c r="G99" s="180">
        <f>G28*G120</f>
        <v>5489876.5599999996</v>
      </c>
      <c r="H99" s="180">
        <f>H28*H120</f>
        <v>6038864.216</v>
      </c>
      <c r="I99" s="180">
        <f>I28*I120</f>
        <v>6703139.2797599994</v>
      </c>
      <c r="J99" s="180">
        <f>J28*J120</f>
        <v>7440484.600533599</v>
      </c>
      <c r="K99" s="210">
        <f>K28*K120</f>
        <v>8184533.0605869591</v>
      </c>
    </row>
    <row r="100" spans="1:15">
      <c r="A100" s="204" t="s">
        <v>84</v>
      </c>
      <c r="B100" s="24">
        <v>0</v>
      </c>
      <c r="C100" s="24">
        <v>2937500</v>
      </c>
      <c r="D100" s="24">
        <v>2250200</v>
      </c>
      <c r="E100" s="24">
        <v>3169700</v>
      </c>
      <c r="F100" s="199">
        <v>3127400</v>
      </c>
      <c r="G100" s="180">
        <v>3127400</v>
      </c>
      <c r="H100" s="180">
        <v>3127400</v>
      </c>
      <c r="I100" s="180">
        <v>3127400</v>
      </c>
      <c r="J100" s="180">
        <v>3127400</v>
      </c>
      <c r="K100" s="210">
        <v>3127400</v>
      </c>
    </row>
    <row r="101" spans="1:15">
      <c r="A101" s="204" t="s">
        <v>85</v>
      </c>
      <c r="B101" s="24">
        <v>1274700</v>
      </c>
      <c r="C101" s="24">
        <v>1463800</v>
      </c>
      <c r="D101" s="24">
        <v>1604700</v>
      </c>
      <c r="E101" s="24">
        <v>1523700</v>
      </c>
      <c r="F101" s="199">
        <v>1703800</v>
      </c>
      <c r="G101" s="180">
        <f>F101*1.1</f>
        <v>1874180.0000000002</v>
      </c>
      <c r="H101" s="180">
        <f t="shared" ref="H101:K101" si="30">G101*1.1</f>
        <v>2061598.0000000005</v>
      </c>
      <c r="I101" s="180">
        <f t="shared" si="30"/>
        <v>2267757.8000000007</v>
      </c>
      <c r="J101" s="180">
        <f t="shared" si="30"/>
        <v>2494533.580000001</v>
      </c>
      <c r="K101" s="210">
        <f t="shared" si="30"/>
        <v>2743986.9380000015</v>
      </c>
    </row>
    <row r="102" spans="1:15" s="225" customFormat="1">
      <c r="A102" s="221" t="s">
        <v>95</v>
      </c>
      <c r="B102" s="222">
        <f>SUM(B99:B101)</f>
        <v>6168700</v>
      </c>
      <c r="C102" s="222">
        <f t="shared" ref="C102:K102" si="31">SUM(C99:C101)</f>
        <v>7346800</v>
      </c>
      <c r="D102" s="222">
        <f t="shared" si="31"/>
        <v>8151400</v>
      </c>
      <c r="E102" s="222">
        <f t="shared" si="31"/>
        <v>9151800</v>
      </c>
      <c r="F102" s="222">
        <f t="shared" si="31"/>
        <v>9345300</v>
      </c>
      <c r="G102" s="223">
        <f t="shared" si="31"/>
        <v>10491456.559999999</v>
      </c>
      <c r="H102" s="223">
        <f t="shared" si="31"/>
        <v>11227862.216</v>
      </c>
      <c r="I102" s="223">
        <f t="shared" si="31"/>
        <v>12098297.07976</v>
      </c>
      <c r="J102" s="223">
        <f t="shared" si="31"/>
        <v>13062418.180533599</v>
      </c>
      <c r="K102" s="223">
        <f t="shared" si="31"/>
        <v>14055919.99858696</v>
      </c>
    </row>
    <row r="103" spans="1:15">
      <c r="A103" s="204" t="s">
        <v>86</v>
      </c>
      <c r="B103" s="24">
        <v>11167000</v>
      </c>
      <c r="C103" s="24">
        <v>22321300</v>
      </c>
      <c r="D103" s="24">
        <v>21354900</v>
      </c>
      <c r="E103" s="24">
        <v>20635100</v>
      </c>
      <c r="F103" s="199">
        <v>21472400</v>
      </c>
      <c r="G103" s="180">
        <v>21472400</v>
      </c>
      <c r="H103" s="180">
        <v>21472400</v>
      </c>
      <c r="I103" s="180">
        <v>21472400</v>
      </c>
      <c r="J103" s="180">
        <v>21472400</v>
      </c>
      <c r="K103" s="210">
        <v>21472400</v>
      </c>
    </row>
    <row r="104" spans="1:15">
      <c r="A104" s="204" t="s">
        <v>87</v>
      </c>
      <c r="B104" s="24">
        <v>8114900</v>
      </c>
      <c r="C104" s="24">
        <v>7505800</v>
      </c>
      <c r="D104" s="24">
        <v>7200800</v>
      </c>
      <c r="E104" s="24">
        <v>6890200</v>
      </c>
      <c r="F104" s="199">
        <v>6615600</v>
      </c>
      <c r="G104" s="180">
        <f>F104*G34+F104</f>
        <v>6350976</v>
      </c>
      <c r="H104" s="180">
        <f>G104*H34+G104</f>
        <v>6096936.96</v>
      </c>
      <c r="I104" s="180">
        <f>H104*I34+H104</f>
        <v>5853059.4815999996</v>
      </c>
      <c r="J104" s="180">
        <f>I104*J34+I104</f>
        <v>5618937.1023359997</v>
      </c>
      <c r="K104" s="210">
        <f>J104*K34+J104</f>
        <v>5394179.61824256</v>
      </c>
    </row>
    <row r="105" spans="1:15" s="225" customFormat="1">
      <c r="A105" s="221" t="s">
        <v>97</v>
      </c>
      <c r="B105" s="222">
        <f>SUM(B103:B104)</f>
        <v>19281900</v>
      </c>
      <c r="C105" s="222">
        <f t="shared" ref="C105:K105" si="32">SUM(C103:C104)</f>
        <v>29827100</v>
      </c>
      <c r="D105" s="222">
        <f t="shared" si="32"/>
        <v>28555700</v>
      </c>
      <c r="E105" s="222">
        <f t="shared" si="32"/>
        <v>27525300</v>
      </c>
      <c r="F105" s="222">
        <f t="shared" si="32"/>
        <v>28088000</v>
      </c>
      <c r="G105" s="223">
        <f t="shared" si="32"/>
        <v>27823376</v>
      </c>
      <c r="H105" s="223">
        <f t="shared" si="32"/>
        <v>27569336.960000001</v>
      </c>
      <c r="I105" s="223">
        <f t="shared" si="32"/>
        <v>27325459.481600001</v>
      </c>
      <c r="J105" s="223">
        <f t="shared" si="32"/>
        <v>27091337.102336001</v>
      </c>
      <c r="K105" s="223">
        <f t="shared" si="32"/>
        <v>26866579.618242562</v>
      </c>
    </row>
    <row r="106" spans="1:15">
      <c r="A106" s="204" t="s">
        <v>88</v>
      </c>
      <c r="B106" s="24">
        <f>B100+B103</f>
        <v>11167000</v>
      </c>
      <c r="C106" s="24">
        <f>C100+C103</f>
        <v>25258800</v>
      </c>
      <c r="D106" s="24">
        <f>D100+D103</f>
        <v>23605100</v>
      </c>
      <c r="E106" s="24">
        <f>E100+E103</f>
        <v>23804800</v>
      </c>
      <c r="F106" s="199">
        <f>F100+F103</f>
        <v>24599800</v>
      </c>
      <c r="G106" s="180">
        <f t="shared" ref="G106:K106" si="33">G100+G103</f>
        <v>24599800</v>
      </c>
      <c r="H106" s="180">
        <f t="shared" si="33"/>
        <v>24599800</v>
      </c>
      <c r="I106" s="180">
        <f t="shared" si="33"/>
        <v>24599800</v>
      </c>
      <c r="J106" s="180">
        <f t="shared" si="33"/>
        <v>24599800</v>
      </c>
      <c r="K106" s="210">
        <f t="shared" si="33"/>
        <v>24599800</v>
      </c>
    </row>
    <row r="107" spans="1:15">
      <c r="A107" s="204" t="s">
        <v>89</v>
      </c>
      <c r="B107" s="24">
        <f t="shared" ref="B107:K107" si="34">B89+B90</f>
        <v>2408600</v>
      </c>
      <c r="C107" s="24">
        <f t="shared" si="34"/>
        <v>2434800</v>
      </c>
      <c r="D107" s="24">
        <f t="shared" si="34"/>
        <v>2543900</v>
      </c>
      <c r="E107" s="24">
        <f t="shared" si="34"/>
        <v>3352100</v>
      </c>
      <c r="F107" s="199">
        <f t="shared" si="34"/>
        <v>2990500</v>
      </c>
      <c r="G107" s="180">
        <f t="shared" si="34"/>
        <v>3097858.9160000002</v>
      </c>
      <c r="H107" s="180">
        <f t="shared" si="34"/>
        <v>3407644.8075999999</v>
      </c>
      <c r="I107" s="180">
        <f t="shared" si="34"/>
        <v>3782485.7364359996</v>
      </c>
      <c r="J107" s="180">
        <f t="shared" si="34"/>
        <v>4198559.167443959</v>
      </c>
      <c r="K107" s="210">
        <f t="shared" si="34"/>
        <v>4618415.0841883551</v>
      </c>
    </row>
    <row r="108" spans="1:15">
      <c r="A108" s="204" t="s">
        <v>90</v>
      </c>
      <c r="B108" s="24">
        <f t="shared" ref="B108:K108" si="35">B99</f>
        <v>4894000</v>
      </c>
      <c r="C108" s="24">
        <f t="shared" si="35"/>
        <v>2945500</v>
      </c>
      <c r="D108" s="24">
        <f t="shared" si="35"/>
        <v>4296500</v>
      </c>
      <c r="E108" s="24">
        <f t="shared" si="35"/>
        <v>4458400</v>
      </c>
      <c r="F108" s="199">
        <f t="shared" si="35"/>
        <v>4514100</v>
      </c>
      <c r="G108" s="180">
        <f t="shared" si="35"/>
        <v>5489876.5599999996</v>
      </c>
      <c r="H108" s="180">
        <f t="shared" si="35"/>
        <v>6038864.216</v>
      </c>
      <c r="I108" s="180">
        <f t="shared" si="35"/>
        <v>6703139.2797599994</v>
      </c>
      <c r="J108" s="180">
        <f t="shared" si="35"/>
        <v>7440484.600533599</v>
      </c>
      <c r="K108" s="210">
        <f t="shared" si="35"/>
        <v>8184533.0605869591</v>
      </c>
    </row>
    <row r="109" spans="1:15">
      <c r="A109" s="204" t="s">
        <v>91</v>
      </c>
      <c r="B109" s="24">
        <f>B107-B108</f>
        <v>-2485400</v>
      </c>
      <c r="C109" s="24">
        <f t="shared" ref="C109:K109" si="36">C107-C108</f>
        <v>-510700</v>
      </c>
      <c r="D109" s="24">
        <f t="shared" si="36"/>
        <v>-1752600</v>
      </c>
      <c r="E109" s="24">
        <f t="shared" si="36"/>
        <v>-1106300</v>
      </c>
      <c r="F109" s="199">
        <f t="shared" si="36"/>
        <v>-1523600</v>
      </c>
      <c r="G109" s="180">
        <f t="shared" si="36"/>
        <v>-2392017.6439999994</v>
      </c>
      <c r="H109" s="180">
        <f t="shared" si="36"/>
        <v>-2631219.4084000001</v>
      </c>
      <c r="I109" s="180">
        <f t="shared" si="36"/>
        <v>-2920653.5433239997</v>
      </c>
      <c r="J109" s="180">
        <f t="shared" si="36"/>
        <v>-3241925.43308964</v>
      </c>
      <c r="K109" s="210">
        <f t="shared" si="36"/>
        <v>-3566117.976398604</v>
      </c>
    </row>
    <row r="110" spans="1:15">
      <c r="A110" s="204" t="s">
        <v>92</v>
      </c>
      <c r="B110" s="24">
        <v>0</v>
      </c>
      <c r="C110" s="24">
        <f>C109-B109</f>
        <v>1974700</v>
      </c>
      <c r="D110" s="24">
        <f t="shared" ref="D110:K110" si="37">D109-C109</f>
        <v>-1241900</v>
      </c>
      <c r="E110" s="24">
        <f t="shared" si="37"/>
        <v>646300</v>
      </c>
      <c r="F110" s="199">
        <f t="shared" si="37"/>
        <v>-417300</v>
      </c>
      <c r="G110" s="180">
        <f t="shared" si="37"/>
        <v>-868417.64399999939</v>
      </c>
      <c r="H110" s="180">
        <f t="shared" si="37"/>
        <v>-239201.76440000068</v>
      </c>
      <c r="I110" s="180">
        <f t="shared" si="37"/>
        <v>-289434.13492399966</v>
      </c>
      <c r="J110" s="180">
        <f t="shared" si="37"/>
        <v>-321271.88976564026</v>
      </c>
      <c r="K110" s="210">
        <f t="shared" si="37"/>
        <v>-324192.543308964</v>
      </c>
    </row>
    <row r="111" spans="1:15">
      <c r="A111" s="204" t="s">
        <v>93</v>
      </c>
      <c r="B111" s="24">
        <v>0</v>
      </c>
      <c r="C111" s="24">
        <f t="shared" ref="C111:K111" si="38">C95-B95+C141</f>
        <v>9375100</v>
      </c>
      <c r="D111" s="24">
        <f t="shared" si="38"/>
        <v>1671700</v>
      </c>
      <c r="E111" s="24">
        <f t="shared" si="38"/>
        <v>1418500</v>
      </c>
      <c r="F111" s="199">
        <f t="shared" si="38"/>
        <v>2586200</v>
      </c>
      <c r="G111" s="180">
        <f t="shared" si="38"/>
        <v>1576512.6</v>
      </c>
      <c r="H111" s="180">
        <f t="shared" si="38"/>
        <v>1777057.6888000013</v>
      </c>
      <c r="I111" s="180">
        <f t="shared" si="38"/>
        <v>1880167.6495519993</v>
      </c>
      <c r="J111" s="180">
        <f t="shared" si="38"/>
        <v>1985480.3495420788</v>
      </c>
      <c r="K111" s="210">
        <f t="shared" si="38"/>
        <v>2093199.1978912852</v>
      </c>
    </row>
    <row r="112" spans="1:15">
      <c r="A112" s="204" t="s">
        <v>95</v>
      </c>
      <c r="B112" s="24">
        <f t="shared" ref="B112:K112" si="39">SUM(B99:B101)</f>
        <v>6168700</v>
      </c>
      <c r="C112" s="24">
        <f t="shared" si="39"/>
        <v>7346800</v>
      </c>
      <c r="D112" s="24">
        <f t="shared" si="39"/>
        <v>8151400</v>
      </c>
      <c r="E112" s="24">
        <f t="shared" si="39"/>
        <v>9151800</v>
      </c>
      <c r="F112" s="199">
        <f t="shared" si="39"/>
        <v>9345300</v>
      </c>
      <c r="G112" s="180">
        <f t="shared" si="39"/>
        <v>10491456.559999999</v>
      </c>
      <c r="H112" s="180">
        <f t="shared" si="39"/>
        <v>11227862.216</v>
      </c>
      <c r="I112" s="180">
        <f t="shared" si="39"/>
        <v>12098297.07976</v>
      </c>
      <c r="J112" s="180">
        <f t="shared" si="39"/>
        <v>13062418.180533599</v>
      </c>
      <c r="K112" s="210">
        <f t="shared" si="39"/>
        <v>14055919.99858696</v>
      </c>
      <c r="M112" s="15">
        <v>7</v>
      </c>
      <c r="N112" s="15">
        <v>0.2</v>
      </c>
      <c r="O112" s="15">
        <f>N112*M112+7</f>
        <v>8.4</v>
      </c>
    </row>
    <row r="113" spans="1:30">
      <c r="A113" s="204" t="s">
        <v>97</v>
      </c>
      <c r="B113" s="24">
        <f t="shared" ref="B113:K113" si="40">SUM(B103:B104)</f>
        <v>19281900</v>
      </c>
      <c r="C113" s="24">
        <f t="shared" si="40"/>
        <v>29827100</v>
      </c>
      <c r="D113" s="24">
        <f t="shared" si="40"/>
        <v>28555700</v>
      </c>
      <c r="E113" s="24">
        <f t="shared" si="40"/>
        <v>27525300</v>
      </c>
      <c r="F113" s="199">
        <f t="shared" si="40"/>
        <v>28088000</v>
      </c>
      <c r="G113" s="180">
        <f t="shared" si="40"/>
        <v>27823376</v>
      </c>
      <c r="H113" s="180">
        <f t="shared" si="40"/>
        <v>27569336.960000001</v>
      </c>
      <c r="I113" s="180">
        <f t="shared" si="40"/>
        <v>27325459.481600001</v>
      </c>
      <c r="J113" s="180">
        <f t="shared" si="40"/>
        <v>27091337.102336001</v>
      </c>
      <c r="K113" s="210">
        <f t="shared" si="40"/>
        <v>26866579.618242562</v>
      </c>
      <c r="M113" s="15">
        <v>2</v>
      </c>
      <c r="N113" s="218">
        <f>0.2*$N$112*M113+M113</f>
        <v>2.08</v>
      </c>
    </row>
    <row r="114" spans="1:30" ht="16" thickBot="1"/>
    <row r="115" spans="1:30" ht="16">
      <c r="A115" s="200" t="s">
        <v>100</v>
      </c>
      <c r="B115" s="201" t="s">
        <v>50</v>
      </c>
      <c r="C115" s="201" t="s">
        <v>51</v>
      </c>
      <c r="D115" s="201" t="s">
        <v>52</v>
      </c>
      <c r="E115" s="201" t="s">
        <v>53</v>
      </c>
      <c r="F115" s="201" t="s">
        <v>54</v>
      </c>
      <c r="G115" s="202" t="s">
        <v>55</v>
      </c>
      <c r="H115" s="202" t="s">
        <v>56</v>
      </c>
      <c r="I115" s="202" t="s">
        <v>57</v>
      </c>
      <c r="J115" s="202" t="s">
        <v>58</v>
      </c>
      <c r="K115" s="203" t="s">
        <v>59</v>
      </c>
    </row>
    <row r="116" spans="1:30">
      <c r="A116" s="257" t="s">
        <v>186</v>
      </c>
      <c r="B116" s="24">
        <v>26508600</v>
      </c>
      <c r="C116" s="24">
        <v>23518000</v>
      </c>
      <c r="D116" s="24">
        <v>29060600</v>
      </c>
      <c r="E116" s="24">
        <v>32250300</v>
      </c>
      <c r="F116" s="24">
        <v>35975600</v>
      </c>
      <c r="G116" s="29">
        <f>G22*F116+F116</f>
        <v>39213404</v>
      </c>
      <c r="H116" s="29">
        <f>H22*G116+G116</f>
        <v>43134744.399999999</v>
      </c>
      <c r="I116" s="29">
        <f>I22*H116+H116</f>
        <v>47879566.283999994</v>
      </c>
      <c r="J116" s="29">
        <f>J22*I116+I116</f>
        <v>53146318.575239994</v>
      </c>
      <c r="K116" s="258">
        <f>K22*J116+J116</f>
        <v>58460950.432763994</v>
      </c>
      <c r="T116" s="15">
        <v>2024</v>
      </c>
      <c r="W116" s="15">
        <v>2025</v>
      </c>
      <c r="Y116" s="15">
        <v>2026</v>
      </c>
      <c r="AA116" s="15">
        <v>2027</v>
      </c>
      <c r="AC116" s="15">
        <v>2028</v>
      </c>
    </row>
    <row r="117" spans="1:30">
      <c r="A117" s="257" t="s">
        <v>187</v>
      </c>
      <c r="B117" s="24">
        <v>21544400</v>
      </c>
      <c r="C117" s="24">
        <v>19164600</v>
      </c>
      <c r="D117" s="24">
        <v>24607000</v>
      </c>
      <c r="E117" s="24">
        <v>26576100</v>
      </c>
      <c r="F117" s="24">
        <v>29462300</v>
      </c>
      <c r="G117" s="29">
        <f>V120</f>
        <v>32292282.038109433</v>
      </c>
      <c r="H117" s="29">
        <f>X120</f>
        <v>35711745.142304249</v>
      </c>
      <c r="I117" s="29">
        <f>Z120</f>
        <v>39869098.490912631</v>
      </c>
      <c r="J117" s="29">
        <f>AB120</f>
        <v>44514103.322395079</v>
      </c>
      <c r="K117" s="258">
        <f>AD120</f>
        <v>49239948.828328975</v>
      </c>
      <c r="L117" s="28">
        <v>0.85</v>
      </c>
      <c r="M117" s="213">
        <f>L117*$G$22</f>
        <v>7.6499999999999999E-2</v>
      </c>
      <c r="N117" s="214">
        <f>M117*F117</f>
        <v>2253865.9500000002</v>
      </c>
      <c r="P117" s="15" t="s">
        <v>188</v>
      </c>
      <c r="Q117" s="15">
        <v>10628</v>
      </c>
      <c r="R117" s="28">
        <f>Q117/$Q$120</f>
        <v>0.54246631278072688</v>
      </c>
      <c r="S117" s="15">
        <v>10628</v>
      </c>
      <c r="T117" s="217">
        <f>0.04*S117+S117</f>
        <v>11053.12</v>
      </c>
      <c r="U117" s="28">
        <f>T117/$T$120</f>
        <v>0.52501800232177709</v>
      </c>
      <c r="V117" s="215">
        <f>T117*$Q$122</f>
        <v>16954029.406059619</v>
      </c>
      <c r="W117" s="217">
        <f>0.04*T117+T117</f>
        <v>11495.2448</v>
      </c>
      <c r="X117" s="215">
        <f>W117*$Q$123</f>
        <v>18690122.017240122</v>
      </c>
      <c r="Y117" s="217">
        <f>0.04*W117+W117</f>
        <v>11955.054592</v>
      </c>
      <c r="Z117" s="215">
        <f>Y117*$Q$124</f>
        <v>20798367.780784804</v>
      </c>
      <c r="AA117" s="217">
        <f>0.04*Y117+Y117</f>
        <v>12433.25677568</v>
      </c>
      <c r="AB117" s="215">
        <f>AA117*$Q$125</f>
        <v>23144423.666457333</v>
      </c>
      <c r="AC117" s="217">
        <f>0.04*AA117+AA117</f>
        <v>12930.5870467072</v>
      </c>
      <c r="AD117" s="215">
        <f>AC117*$Q$126</f>
        <v>25514412.649902564</v>
      </c>
    </row>
    <row r="118" spans="1:30">
      <c r="A118" s="257" t="s">
        <v>189</v>
      </c>
      <c r="B118" s="24">
        <v>2875000</v>
      </c>
      <c r="C118" s="24">
        <v>2327100</v>
      </c>
      <c r="D118" s="24">
        <v>2683600</v>
      </c>
      <c r="E118" s="24">
        <v>3655500</v>
      </c>
      <c r="F118" s="24">
        <v>4512700</v>
      </c>
      <c r="G118" s="29">
        <f>V131</f>
        <v>4871395.6022465574</v>
      </c>
      <c r="H118" s="29">
        <f>X131</f>
        <v>5311171.8348264433</v>
      </c>
      <c r="I118" s="29">
        <f>Z131</f>
        <v>5847979.149499164</v>
      </c>
      <c r="J118" s="29">
        <f>AB131</f>
        <v>6440255.231214039</v>
      </c>
      <c r="K118" s="258">
        <f>AD131</f>
        <v>7025632.1551683387</v>
      </c>
      <c r="L118" s="28">
        <v>0.1</v>
      </c>
      <c r="M118" s="213">
        <f t="shared" ref="M118:M119" si="41">L118*$G$22</f>
        <v>8.9999999999999993E-3</v>
      </c>
      <c r="N118" s="214">
        <f t="shared" ref="N118:N119" si="42">M118*F118</f>
        <v>40614.299999999996</v>
      </c>
      <c r="P118" s="15" t="s">
        <v>190</v>
      </c>
      <c r="Q118" s="15">
        <v>6804</v>
      </c>
      <c r="R118" s="28">
        <f t="shared" ref="R118:R119" si="43">Q118/$Q$120</f>
        <v>0.34728460596161698</v>
      </c>
      <c r="S118" s="15">
        <v>6804</v>
      </c>
      <c r="T118" s="217">
        <f>0.13*S118+S118</f>
        <v>7688.52</v>
      </c>
      <c r="U118" s="28">
        <f t="shared" ref="U118:U119" si="44">T118/$T$120</f>
        <v>0.36520108450926336</v>
      </c>
      <c r="V118" s="215">
        <f>T118*$Q$122</f>
        <v>11793176.42159657</v>
      </c>
      <c r="W118" s="217">
        <f>0.04*T118+T118</f>
        <v>7996.0608000000002</v>
      </c>
      <c r="X118" s="215">
        <f t="shared" ref="X118:X119" si="45">W118*$Q$123</f>
        <v>13000797.687168058</v>
      </c>
      <c r="Y118" s="217">
        <f t="shared" ref="Y118:AC118" si="46">0.04*W118+W118</f>
        <v>8315.9032320000006</v>
      </c>
      <c r="Z118" s="215">
        <f>Y118*$Q$124</f>
        <v>14467287.666280616</v>
      </c>
      <c r="AA118" s="217">
        <f t="shared" si="46"/>
        <v>8648.5393612799999</v>
      </c>
      <c r="AB118" s="215">
        <f>AA118*$Q$125</f>
        <v>16099197.715037068</v>
      </c>
      <c r="AC118" s="217">
        <f t="shared" si="46"/>
        <v>8994.4809357312006</v>
      </c>
      <c r="AD118" s="215">
        <f t="shared" ref="AD118:AD119" si="47">AC118*$Q$126</f>
        <v>17747755.561056864</v>
      </c>
    </row>
    <row r="119" spans="1:30">
      <c r="A119" s="257" t="s">
        <v>191</v>
      </c>
      <c r="B119" s="24">
        <v>2089200</v>
      </c>
      <c r="C119" s="24">
        <v>2026300</v>
      </c>
      <c r="D119" s="24">
        <v>1770000</v>
      </c>
      <c r="E119" s="24">
        <v>2018700</v>
      </c>
      <c r="F119" s="24">
        <v>2000600</v>
      </c>
      <c r="G119" s="29">
        <f>G116-G117-G118</f>
        <v>2049726.3596440097</v>
      </c>
      <c r="H119" s="29">
        <f>H116-H117-H118</f>
        <v>2111827.4228693061</v>
      </c>
      <c r="I119" s="29">
        <f>I116-I117-I118</f>
        <v>2162488.6435881993</v>
      </c>
      <c r="J119" s="29">
        <f>J116-J117-J118</f>
        <v>2191960.0216308758</v>
      </c>
      <c r="K119" s="258">
        <f>K116-K117-K118</f>
        <v>2195369.4492666805</v>
      </c>
      <c r="L119" s="28">
        <v>0.05</v>
      </c>
      <c r="M119" s="213">
        <f t="shared" si="41"/>
        <v>4.4999999999999997E-3</v>
      </c>
      <c r="N119" s="214">
        <f t="shared" si="42"/>
        <v>9002.6999999999989</v>
      </c>
      <c r="P119" s="15" t="s">
        <v>192</v>
      </c>
      <c r="Q119" s="15">
        <v>2160</v>
      </c>
      <c r="R119" s="28">
        <f t="shared" si="43"/>
        <v>0.11024908125765619</v>
      </c>
      <c r="S119" s="15">
        <v>2160</v>
      </c>
      <c r="T119" s="217">
        <f>0.07*S119+S119</f>
        <v>2311.1999999999998</v>
      </c>
      <c r="U119" s="28">
        <f t="shared" si="44"/>
        <v>0.10978091316895962</v>
      </c>
      <c r="V119" s="215">
        <f>T119*$Q$122</f>
        <v>3545076.2104532458</v>
      </c>
      <c r="W119" s="217">
        <f>0.07*T119+T119</f>
        <v>2472.9839999999999</v>
      </c>
      <c r="X119" s="215">
        <f t="shared" si="45"/>
        <v>4020825.4378960715</v>
      </c>
      <c r="Y119" s="217">
        <f>0.07*W119+W119</f>
        <v>2646.0928800000002</v>
      </c>
      <c r="Z119" s="215">
        <f>Y119*$Q$124</f>
        <v>4603443.0438472126</v>
      </c>
      <c r="AA119" s="217">
        <f>0.07*Y119+Y119</f>
        <v>2831.3193816000003</v>
      </c>
      <c r="AB119" s="215">
        <f>AA119*$Q$125</f>
        <v>5270481.9409006741</v>
      </c>
      <c r="AC119" s="217">
        <f>0.07*AA119+AA119</f>
        <v>3029.5117383120005</v>
      </c>
      <c r="AD119" s="215">
        <f t="shared" si="47"/>
        <v>5977780.6173695447</v>
      </c>
    </row>
    <row r="120" spans="1:30">
      <c r="A120" s="259" t="s">
        <v>101</v>
      </c>
      <c r="B120" s="24">
        <v>19020500</v>
      </c>
      <c r="C120" s="24">
        <v>18458900</v>
      </c>
      <c r="D120" s="24">
        <v>20652000</v>
      </c>
      <c r="E120" s="24">
        <v>23879200</v>
      </c>
      <c r="F120" s="24">
        <v>26129400</v>
      </c>
      <c r="G120" s="29">
        <f>G116*G23</f>
        <v>27449382.799999997</v>
      </c>
      <c r="H120" s="29">
        <f>H116*H23</f>
        <v>30194321.079999998</v>
      </c>
      <c r="I120" s="29">
        <f>I116*I23</f>
        <v>33515696.398799993</v>
      </c>
      <c r="J120" s="29">
        <f>J116*J23</f>
        <v>37202423.002667993</v>
      </c>
      <c r="K120" s="258">
        <f>K116*K23</f>
        <v>40922665.302934796</v>
      </c>
      <c r="M120" s="213">
        <f>SUM(M117:M119)</f>
        <v>0.09</v>
      </c>
      <c r="N120" s="215">
        <f>SUM(N117:N119)</f>
        <v>2303482.9500000002</v>
      </c>
      <c r="Q120" s="15">
        <f>SUM(Q117:Q119)</f>
        <v>19592</v>
      </c>
      <c r="S120" s="15">
        <f>SUM(S117:S119)</f>
        <v>19592</v>
      </c>
      <c r="T120" s="217">
        <f>SUM(T117:T119)</f>
        <v>21052.84</v>
      </c>
      <c r="V120" s="215">
        <f t="shared" ref="V120:AD120" si="48">SUM(V117:V119)</f>
        <v>32292282.038109433</v>
      </c>
      <c r="W120" s="217">
        <f t="shared" si="48"/>
        <v>21964.2896</v>
      </c>
      <c r="X120" s="215">
        <f t="shared" si="48"/>
        <v>35711745.142304249</v>
      </c>
      <c r="Y120" s="217">
        <f t="shared" si="48"/>
        <v>22917.050704000001</v>
      </c>
      <c r="Z120" s="215">
        <f t="shared" si="48"/>
        <v>39869098.490912631</v>
      </c>
      <c r="AA120" s="217">
        <f t="shared" si="48"/>
        <v>23913.11551856</v>
      </c>
      <c r="AB120" s="215">
        <f t="shared" si="48"/>
        <v>44514103.322395079</v>
      </c>
      <c r="AC120" s="217">
        <f t="shared" si="48"/>
        <v>24954.5797207504</v>
      </c>
      <c r="AD120" s="215">
        <f t="shared" si="48"/>
        <v>49239948.828328975</v>
      </c>
    </row>
    <row r="121" spans="1:30">
      <c r="A121" s="260" t="s">
        <v>102</v>
      </c>
      <c r="B121" s="222">
        <f>B116-B120</f>
        <v>7488100</v>
      </c>
      <c r="C121" s="222">
        <f t="shared" ref="C121:K121" si="49">C116-C120</f>
        <v>5059100</v>
      </c>
      <c r="D121" s="222">
        <f t="shared" si="49"/>
        <v>8408600</v>
      </c>
      <c r="E121" s="222">
        <f t="shared" si="49"/>
        <v>8371100</v>
      </c>
      <c r="F121" s="222">
        <f t="shared" si="49"/>
        <v>9846200</v>
      </c>
      <c r="G121" s="256">
        <f t="shared" si="49"/>
        <v>11764021.200000003</v>
      </c>
      <c r="H121" s="256">
        <f t="shared" si="49"/>
        <v>12940423.32</v>
      </c>
      <c r="I121" s="256">
        <f t="shared" si="49"/>
        <v>14363869.885200001</v>
      </c>
      <c r="J121" s="256">
        <f t="shared" si="49"/>
        <v>15943895.572572</v>
      </c>
      <c r="K121" s="261">
        <f t="shared" si="49"/>
        <v>17538285.129829198</v>
      </c>
      <c r="N121" s="214">
        <f>G116-F116</f>
        <v>3237804</v>
      </c>
      <c r="P121" s="15">
        <v>2023</v>
      </c>
      <c r="Q121" s="215">
        <f>F117/Q120</f>
        <v>1503.7923642302981</v>
      </c>
    </row>
    <row r="122" spans="1:30">
      <c r="A122" s="259" t="s">
        <v>103</v>
      </c>
      <c r="B122" s="24">
        <v>298000</v>
      </c>
      <c r="C122" s="24">
        <v>322500</v>
      </c>
      <c r="D122" s="24">
        <v>385300</v>
      </c>
      <c r="E122" s="24">
        <v>234100</v>
      </c>
      <c r="F122" s="24">
        <v>298400</v>
      </c>
      <c r="G122" s="29">
        <f>G116*G33</f>
        <v>392134.04000000004</v>
      </c>
      <c r="H122" s="29">
        <f>H116*H33</f>
        <v>431347.44400000002</v>
      </c>
      <c r="I122" s="29">
        <f>I116*I33</f>
        <v>478795.66283999995</v>
      </c>
      <c r="J122" s="29">
        <f>J116*J33</f>
        <v>531463.18575239996</v>
      </c>
      <c r="K122" s="258">
        <f>K116*K33</f>
        <v>584609.50432763994</v>
      </c>
      <c r="M122" s="214">
        <f>M120*F116</f>
        <v>3237804</v>
      </c>
      <c r="N122" s="216">
        <f>N121-N120</f>
        <v>934321.04999999981</v>
      </c>
      <c r="P122" s="15">
        <v>2024</v>
      </c>
      <c r="Q122" s="215">
        <f>0.02*Q121+Q121</f>
        <v>1533.868211514904</v>
      </c>
    </row>
    <row r="123" spans="1:30">
      <c r="A123" s="259" t="s">
        <v>104</v>
      </c>
      <c r="B123" s="24">
        <v>3215600</v>
      </c>
      <c r="C123" s="24">
        <v>3248400</v>
      </c>
      <c r="D123" s="24">
        <v>3576000</v>
      </c>
      <c r="E123" s="24">
        <v>3750200</v>
      </c>
      <c r="F123" s="24">
        <v>4343200</v>
      </c>
      <c r="G123" s="29">
        <f>G24*G116</f>
        <v>5097742.5200000005</v>
      </c>
      <c r="H123" s="29">
        <f>H24*H116</f>
        <v>6038864.216</v>
      </c>
      <c r="I123" s="29">
        <f>I24*I116</f>
        <v>6224343.6169199999</v>
      </c>
      <c r="J123" s="29">
        <f>J24*J116</f>
        <v>7440484.6005336</v>
      </c>
      <c r="K123" s="258">
        <f>K24*K116</f>
        <v>8184533.0605869601</v>
      </c>
      <c r="P123" s="15">
        <v>2025</v>
      </c>
      <c r="Q123" s="215">
        <f>0.06*Q122+Q122</f>
        <v>1625.9003042057982</v>
      </c>
    </row>
    <row r="124" spans="1:30">
      <c r="A124" s="262" t="s">
        <v>105</v>
      </c>
      <c r="B124" s="222">
        <f>B121-B123+B122</f>
        <v>4570500</v>
      </c>
      <c r="C124" s="222">
        <f t="shared" ref="C124:E124" si="50">C121-C123+C122</f>
        <v>2133200</v>
      </c>
      <c r="D124" s="222">
        <f t="shared" si="50"/>
        <v>5217900</v>
      </c>
      <c r="E124" s="222">
        <f t="shared" si="50"/>
        <v>4855000</v>
      </c>
      <c r="F124" s="222">
        <f>F121-F123+F122</f>
        <v>5801400</v>
      </c>
      <c r="G124" s="256">
        <f>G121-G123+G122</f>
        <v>7058412.7200000025</v>
      </c>
      <c r="H124" s="256">
        <f t="shared" ref="H124:K124" si="51">H121-H123+H122</f>
        <v>7332906.5480000004</v>
      </c>
      <c r="I124" s="256">
        <f t="shared" si="51"/>
        <v>8618321.9311200008</v>
      </c>
      <c r="J124" s="256">
        <f t="shared" si="51"/>
        <v>9034874.1577907987</v>
      </c>
      <c r="K124" s="261">
        <f t="shared" si="51"/>
        <v>9938361.5735698789</v>
      </c>
      <c r="P124" s="15">
        <v>2026</v>
      </c>
      <c r="Q124" s="215">
        <f>0.07*Q123+Q123</f>
        <v>1739.7133255002041</v>
      </c>
    </row>
    <row r="125" spans="1:30">
      <c r="A125" s="259" t="s">
        <v>166</v>
      </c>
      <c r="B125" s="24">
        <f>-IS!E39</f>
        <v>-331000</v>
      </c>
      <c r="C125" s="24">
        <f>-IS!F39</f>
        <v>-437000</v>
      </c>
      <c r="D125" s="24">
        <f>-IS!G39</f>
        <v>-469800</v>
      </c>
      <c r="E125" s="24">
        <f>-IS!H39</f>
        <v>-482900</v>
      </c>
      <c r="F125" s="24">
        <f>-IS!J37</f>
        <v>-550100</v>
      </c>
      <c r="G125" s="29">
        <f>-G35*WACC!$C$13</f>
        <v>-910192.6</v>
      </c>
      <c r="H125" s="29">
        <f>-H35*WACC!$C$13</f>
        <v>-860993.00000000012</v>
      </c>
      <c r="I125" s="29">
        <f>-I35*WACC!$C$13</f>
        <v>-860993.00000000012</v>
      </c>
      <c r="J125" s="29">
        <f>-J35*WACC!$C$13</f>
        <v>-860993.00000000012</v>
      </c>
      <c r="K125" s="258">
        <f>-K35*WACC!$C$13</f>
        <v>-860993.00000000012</v>
      </c>
      <c r="L125" s="15">
        <f>10628/19592</f>
        <v>0.54246631278072688</v>
      </c>
      <c r="P125" s="15">
        <v>2027</v>
      </c>
      <c r="Q125" s="215">
        <f>0.07*Q124+Q124</f>
        <v>1861.4932582852184</v>
      </c>
    </row>
    <row r="126" spans="1:30">
      <c r="A126" s="259" t="s">
        <v>193</v>
      </c>
      <c r="B126" s="24">
        <f>-IS!E43-IS!E47</f>
        <v>226700</v>
      </c>
      <c r="C126" s="24">
        <f>-IS!F43-IS!F47</f>
        <v>-531800</v>
      </c>
      <c r="D126" s="24">
        <f>-IS!G43-IS!G47</f>
        <v>608800</v>
      </c>
      <c r="E126" s="24">
        <f>-IS!H43-IS!H47</f>
        <v>-140200</v>
      </c>
      <c r="F126" s="24">
        <f>-IS!I43-IS!I47</f>
        <v>150600</v>
      </c>
      <c r="G126" s="29">
        <f>(1+G36)*F126</f>
        <v>147624.29216883221</v>
      </c>
      <c r="H126" s="29">
        <f>(1+H36)*G126</f>
        <v>144707.38139673794</v>
      </c>
      <c r="I126" s="29">
        <f>(1+I36)*H126</f>
        <v>141848.10591167779</v>
      </c>
      <c r="J126" s="29">
        <f>(1+J36)*I126</f>
        <v>139045.32689708486</v>
      </c>
      <c r="K126" s="258">
        <f>(1+K36)*J126</f>
        <v>136297.92803828712</v>
      </c>
      <c r="P126" s="15">
        <v>2028</v>
      </c>
      <c r="Q126" s="215">
        <f>0.06*Q125+Q125</f>
        <v>1973.1828537823314</v>
      </c>
    </row>
    <row r="127" spans="1:30">
      <c r="A127" s="257" t="s">
        <v>167</v>
      </c>
      <c r="B127" s="24">
        <f>B124+B125+B126</f>
        <v>4466200</v>
      </c>
      <c r="C127" s="24">
        <f t="shared" ref="C127:K127" si="52">C124+C125+C126</f>
        <v>1164400</v>
      </c>
      <c r="D127" s="24">
        <f t="shared" si="52"/>
        <v>5356900</v>
      </c>
      <c r="E127" s="24">
        <f t="shared" si="52"/>
        <v>4231900</v>
      </c>
      <c r="F127" s="24">
        <f t="shared" si="52"/>
        <v>5401900</v>
      </c>
      <c r="G127" s="29">
        <f t="shared" si="52"/>
        <v>6295844.4121688353</v>
      </c>
      <c r="H127" s="29">
        <f t="shared" si="52"/>
        <v>6616620.9293967383</v>
      </c>
      <c r="I127" s="29">
        <f t="shared" si="52"/>
        <v>7899177.0370316785</v>
      </c>
      <c r="J127" s="29">
        <f t="shared" si="52"/>
        <v>8312926.4846878834</v>
      </c>
      <c r="K127" s="258">
        <f t="shared" si="52"/>
        <v>9213666.5016081668</v>
      </c>
      <c r="T127" s="15">
        <v>2024</v>
      </c>
      <c r="W127" s="15">
        <v>2025</v>
      </c>
      <c r="Y127" s="15">
        <v>2026</v>
      </c>
      <c r="AA127" s="15">
        <v>2027</v>
      </c>
      <c r="AC127" s="15">
        <v>2028</v>
      </c>
    </row>
    <row r="128" spans="1:30">
      <c r="A128" s="259" t="s">
        <v>194</v>
      </c>
      <c r="B128" s="24">
        <f>-IS!E65</f>
        <v>-871600</v>
      </c>
      <c r="C128" s="24">
        <f>-IS!F65</f>
        <v>-239700</v>
      </c>
      <c r="D128" s="24">
        <f>-IS!G65</f>
        <v>-1156600</v>
      </c>
      <c r="E128" s="24">
        <f>-IS!H65</f>
        <v>-948500</v>
      </c>
      <c r="F128" s="24">
        <f>-IS!I65</f>
        <v>-1277200</v>
      </c>
      <c r="G128" s="29">
        <f>-G31*G127</f>
        <v>-1259168.8824337672</v>
      </c>
      <c r="H128" s="29">
        <f>-H31*H127</f>
        <v>-1323324.1858793478</v>
      </c>
      <c r="I128" s="29">
        <f>-I31*I127</f>
        <v>-1579835.4074063357</v>
      </c>
      <c r="J128" s="29">
        <f>-J31*J127</f>
        <v>-1662585.2969375767</v>
      </c>
      <c r="K128" s="258">
        <f>-K31*K127</f>
        <v>-1842733.3003216335</v>
      </c>
      <c r="P128" s="15" t="s">
        <v>188</v>
      </c>
      <c r="Q128" s="15">
        <v>7182</v>
      </c>
      <c r="R128" s="28">
        <f>Q128/$Q$131</f>
        <v>0.38935270519353787</v>
      </c>
      <c r="T128" s="217">
        <f>0.04*Q128+Q128</f>
        <v>7469.28</v>
      </c>
      <c r="U128" s="28">
        <f>T128/$T$131</f>
        <v>0.38261304308627914</v>
      </c>
      <c r="V128" s="214">
        <f>T128*$Q$133</f>
        <v>1863859.4954526725</v>
      </c>
      <c r="W128" s="217">
        <f>0.04*T128+T128</f>
        <v>7768.0511999999999</v>
      </c>
      <c r="X128" s="215">
        <f>W128*$Q$134</f>
        <v>1996566.2915289027</v>
      </c>
      <c r="Y128" s="217">
        <f>0.04*W128+W128</f>
        <v>8078.7732479999995</v>
      </c>
      <c r="Z128" s="215">
        <f>Y128*$Q$135</f>
        <v>2159486.1009176611</v>
      </c>
      <c r="AA128" s="217">
        <f>0.04*Y128+Y128</f>
        <v>8401.9241779200001</v>
      </c>
      <c r="AB128" s="215">
        <f>AA128*$Q$136</f>
        <v>2335700.1667525428</v>
      </c>
      <c r="AC128" s="217">
        <f>0.04*AA128+AA128</f>
        <v>8738.0011450368002</v>
      </c>
      <c r="AD128" s="215">
        <f>AC128*$Q$137</f>
        <v>2502002.0186253237</v>
      </c>
    </row>
    <row r="129" spans="1:30" ht="16" thickBot="1">
      <c r="A129" s="263" t="s">
        <v>169</v>
      </c>
      <c r="B129" s="264">
        <f>B127+B128</f>
        <v>3594600</v>
      </c>
      <c r="C129" s="264">
        <f t="shared" ref="C129:K129" si="53">C127+C128</f>
        <v>924700</v>
      </c>
      <c r="D129" s="264">
        <f t="shared" si="53"/>
        <v>4200300</v>
      </c>
      <c r="E129" s="264">
        <f t="shared" si="53"/>
        <v>3283400</v>
      </c>
      <c r="F129" s="264">
        <f t="shared" si="53"/>
        <v>4124700</v>
      </c>
      <c r="G129" s="265">
        <f t="shared" si="53"/>
        <v>5036675.5297350679</v>
      </c>
      <c r="H129" s="265">
        <f t="shared" si="53"/>
        <v>5293296.7435173905</v>
      </c>
      <c r="I129" s="265">
        <f t="shared" si="53"/>
        <v>6319341.6296253428</v>
      </c>
      <c r="J129" s="265">
        <f t="shared" si="53"/>
        <v>6650341.1877503069</v>
      </c>
      <c r="K129" s="266">
        <f t="shared" si="53"/>
        <v>7370933.2012865338</v>
      </c>
      <c r="P129" s="15" t="s">
        <v>190</v>
      </c>
      <c r="Q129" s="15">
        <v>0</v>
      </c>
      <c r="R129" s="28">
        <f>Q129/$Q$131</f>
        <v>0</v>
      </c>
      <c r="T129" s="217">
        <f>0.13*Q129+S129</f>
        <v>0</v>
      </c>
      <c r="U129" s="28">
        <f>T129/$T$131</f>
        <v>0</v>
      </c>
      <c r="V129" s="214">
        <f>T129*$Q$133</f>
        <v>0</v>
      </c>
      <c r="W129" s="217">
        <f>0.13*T129+V129</f>
        <v>0</v>
      </c>
      <c r="X129" s="215">
        <f>W129*$Q$134</f>
        <v>0</v>
      </c>
      <c r="Y129" s="217">
        <f>0.13*V129+X129</f>
        <v>0</v>
      </c>
      <c r="Z129" s="215">
        <f>Y129*$Q$135</f>
        <v>0</v>
      </c>
      <c r="AA129" s="217">
        <f>0.13*X129+Z129</f>
        <v>0</v>
      </c>
      <c r="AB129" s="215">
        <f>AA129*$Q$136</f>
        <v>0</v>
      </c>
      <c r="AC129" s="217">
        <f>0.13*Z129+AB129</f>
        <v>0</v>
      </c>
      <c r="AD129" s="215">
        <f t="shared" ref="AD129:AD130" si="54">AC129*$Q$137</f>
        <v>0</v>
      </c>
    </row>
    <row r="130" spans="1:30">
      <c r="A130" s="71"/>
      <c r="B130" s="16"/>
      <c r="C130" s="16"/>
      <c r="D130" s="16"/>
      <c r="E130" s="16"/>
      <c r="F130" s="16"/>
      <c r="G130" s="21"/>
      <c r="H130" s="220">
        <v>2023</v>
      </c>
      <c r="I130" s="220">
        <v>2024</v>
      </c>
      <c r="J130" s="220">
        <v>2025</v>
      </c>
      <c r="K130" s="220">
        <v>2026</v>
      </c>
      <c r="L130" s="220">
        <v>2027</v>
      </c>
      <c r="M130" s="220">
        <v>2028</v>
      </c>
      <c r="P130" s="15" t="s">
        <v>192</v>
      </c>
      <c r="Q130" s="15">
        <v>11264</v>
      </c>
      <c r="R130" s="28">
        <f>Q130/$Q$131</f>
        <v>0.61064729480646207</v>
      </c>
      <c r="T130" s="217">
        <f>0.07*Q130+Q130</f>
        <v>12052.48</v>
      </c>
      <c r="U130" s="28">
        <f>T130/$T$131</f>
        <v>0.61738695691372092</v>
      </c>
      <c r="V130" s="214">
        <f>T130*$Q$133</f>
        <v>3007536.1067938847</v>
      </c>
      <c r="W130" s="217">
        <f>0.07*T130+T130</f>
        <v>12896.1536</v>
      </c>
      <c r="X130" s="215">
        <f t="shared" ref="X130" si="55">W130*$Q$134</f>
        <v>3314605.5432975404</v>
      </c>
      <c r="Y130" s="217">
        <f>0.07*W130+W130</f>
        <v>13798.884351999999</v>
      </c>
      <c r="Z130" s="215">
        <f>Y130*$Q$135</f>
        <v>3688493.0485815029</v>
      </c>
      <c r="AA130" s="217">
        <f>0.07*Y130+Y130</f>
        <v>14764.806256639999</v>
      </c>
      <c r="AB130" s="215">
        <f>AA130*$Q$136</f>
        <v>4104555.0644614962</v>
      </c>
      <c r="AC130" s="217">
        <f>0.07*AA130+AA130</f>
        <v>15798.342694604798</v>
      </c>
      <c r="AD130" s="215">
        <f t="shared" si="54"/>
        <v>4523630.136543015</v>
      </c>
    </row>
    <row r="131" spans="1:30">
      <c r="A131" s="71"/>
      <c r="B131" s="16"/>
      <c r="C131" s="16"/>
      <c r="D131" s="16"/>
      <c r="E131" s="16"/>
      <c r="F131" s="16"/>
      <c r="G131" s="21"/>
      <c r="H131" s="114">
        <f t="shared" ref="H131:J132" si="56">F117/E117-1</f>
        <v>0.10860133729177712</v>
      </c>
      <c r="I131" s="114">
        <f t="shared" si="56"/>
        <v>9.605434871376084E-2</v>
      </c>
      <c r="J131" s="114">
        <f t="shared" si="56"/>
        <v>0.10589103303877279</v>
      </c>
      <c r="K131" s="114">
        <f t="shared" ref="K131:M131" si="57">I117/H117-1</f>
        <v>0.1164141750015899</v>
      </c>
      <c r="L131" s="114">
        <f t="shared" si="57"/>
        <v>0.11650639235148952</v>
      </c>
      <c r="M131" s="114">
        <f t="shared" si="57"/>
        <v>0.10616512864938055</v>
      </c>
      <c r="Q131" s="15">
        <f>SUM(Q128:Q130)</f>
        <v>18446</v>
      </c>
      <c r="T131" s="217">
        <f>SUM(T128:T130)</f>
        <v>19521.759999999998</v>
      </c>
      <c r="V131" s="214">
        <f t="shared" ref="V131:AD131" si="58">SUM(V128:V130)</f>
        <v>4871395.6022465574</v>
      </c>
      <c r="W131" s="217">
        <f t="shared" si="58"/>
        <v>20664.2048</v>
      </c>
      <c r="X131" s="219">
        <f t="shared" si="58"/>
        <v>5311171.8348264433</v>
      </c>
      <c r="Y131" s="217">
        <f t="shared" si="58"/>
        <v>21877.657599999999</v>
      </c>
      <c r="Z131" s="219">
        <f t="shared" si="58"/>
        <v>5847979.149499164</v>
      </c>
      <c r="AA131" s="217">
        <f t="shared" si="58"/>
        <v>23166.730434559999</v>
      </c>
      <c r="AB131" s="215">
        <f t="shared" si="58"/>
        <v>6440255.231214039</v>
      </c>
      <c r="AC131" s="217">
        <f t="shared" si="58"/>
        <v>24536.343839641599</v>
      </c>
      <c r="AD131" s="215">
        <f t="shared" si="58"/>
        <v>7025632.1551683387</v>
      </c>
    </row>
    <row r="132" spans="1:30">
      <c r="A132" s="71"/>
      <c r="B132" s="16"/>
      <c r="C132" s="16"/>
      <c r="D132" s="16"/>
      <c r="E132" s="16">
        <f>E119/D119-1</f>
        <v>0.14050847457627125</v>
      </c>
      <c r="F132" s="16">
        <f>F129/1132200</f>
        <v>3.6430842607313196</v>
      </c>
      <c r="G132" s="21">
        <f>G129/1132200</f>
        <v>4.4485740414547497</v>
      </c>
      <c r="H132" s="114">
        <f t="shared" si="56"/>
        <v>0.23449596498427039</v>
      </c>
      <c r="I132" s="114">
        <f t="shared" si="56"/>
        <v>7.9485807221077787E-2</v>
      </c>
      <c r="J132" s="114">
        <f t="shared" si="56"/>
        <v>9.027725696863409E-2</v>
      </c>
      <c r="K132" s="114">
        <f t="shared" ref="K132:L132" si="59">I118/H118-1</f>
        <v>0.10107135136407464</v>
      </c>
      <c r="L132" s="114">
        <f t="shared" si="59"/>
        <v>0.10127876084606058</v>
      </c>
      <c r="M132" s="114">
        <f>K118/J118-1</f>
        <v>9.0893435576457904E-2</v>
      </c>
      <c r="P132" s="15">
        <v>2023</v>
      </c>
      <c r="Q132" s="215">
        <f>F118/Q131</f>
        <v>244.6438252195598</v>
      </c>
    </row>
    <row r="133" spans="1:30">
      <c r="A133" s="71"/>
      <c r="B133" s="16"/>
      <c r="C133" s="16"/>
      <c r="D133" s="16"/>
      <c r="E133" s="16"/>
      <c r="F133" s="16"/>
      <c r="G133" s="114">
        <f>G132/F132-1</f>
        <v>0.22110105698234239</v>
      </c>
      <c r="H133" s="114">
        <f>(F119/E119)-1</f>
        <v>-8.9661663446772843E-3</v>
      </c>
      <c r="I133" s="114">
        <f>(G119/F119)-1</f>
        <v>2.4555813078081412E-2</v>
      </c>
      <c r="J133" s="114">
        <f>(H119/G119)-1</f>
        <v>3.0297245743613255E-2</v>
      </c>
      <c r="K133" s="114">
        <f t="shared" ref="K133:M133" si="60">(I119/H119)-1</f>
        <v>2.3989280643993416E-2</v>
      </c>
      <c r="L133" s="114">
        <f t="shared" si="60"/>
        <v>1.3628454480008267E-2</v>
      </c>
      <c r="M133" s="114">
        <f t="shared" si="60"/>
        <v>1.5554241875579411E-3</v>
      </c>
      <c r="P133" s="15">
        <v>2024</v>
      </c>
      <c r="Q133" s="215">
        <f>0.02*Q132+Q132</f>
        <v>249.53670172395098</v>
      </c>
    </row>
    <row r="134" spans="1:30">
      <c r="A134" s="71"/>
      <c r="B134" s="16"/>
      <c r="C134" s="16"/>
      <c r="D134" s="16"/>
      <c r="E134" s="16"/>
      <c r="F134" s="16"/>
      <c r="G134" s="21"/>
      <c r="H134" s="21"/>
      <c r="I134" s="21"/>
      <c r="J134" s="21"/>
      <c r="K134" s="21"/>
      <c r="P134" s="15">
        <v>2025</v>
      </c>
      <c r="Q134" s="215">
        <f>0.03*Q133+Q133</f>
        <v>257.0228027756695</v>
      </c>
    </row>
    <row r="135" spans="1:30">
      <c r="A135" s="71"/>
      <c r="B135" s="16"/>
      <c r="C135" s="16"/>
      <c r="D135" s="16"/>
      <c r="E135" s="16"/>
      <c r="F135" s="16"/>
      <c r="G135" s="21"/>
      <c r="H135" s="21"/>
      <c r="I135" s="21"/>
      <c r="J135" s="21"/>
      <c r="K135" s="21"/>
      <c r="P135" s="15">
        <v>2026</v>
      </c>
      <c r="Q135" s="215">
        <f>0.04*Q134+Q134</f>
        <v>267.3037148866963</v>
      </c>
    </row>
    <row r="136" spans="1:30">
      <c r="P136" s="15">
        <v>2027</v>
      </c>
      <c r="Q136" s="215">
        <f>0.04*Q135+Q135</f>
        <v>277.99586348216417</v>
      </c>
    </row>
    <row r="137" spans="1:30">
      <c r="A137" s="13" t="s">
        <v>106</v>
      </c>
      <c r="P137" s="15">
        <v>2028</v>
      </c>
      <c r="Q137" s="215">
        <f>0.03*Q136+Q136</f>
        <v>286.33573938662909</v>
      </c>
    </row>
    <row r="138" spans="1:30">
      <c r="A138" s="24" t="s">
        <v>107</v>
      </c>
      <c r="B138" s="48">
        <f>B124</f>
        <v>4570500</v>
      </c>
      <c r="C138" s="48">
        <f t="shared" ref="C138:K138" si="61">C124</f>
        <v>2133200</v>
      </c>
      <c r="D138" s="48">
        <f t="shared" si="61"/>
        <v>5217900</v>
      </c>
      <c r="E138" s="48">
        <f t="shared" si="61"/>
        <v>4855000</v>
      </c>
      <c r="F138" s="48">
        <f t="shared" si="61"/>
        <v>5801400</v>
      </c>
      <c r="G138" s="29">
        <f t="shared" si="61"/>
        <v>7058412.7200000025</v>
      </c>
      <c r="H138" s="29">
        <f t="shared" si="61"/>
        <v>7332906.5480000004</v>
      </c>
      <c r="I138" s="29">
        <f t="shared" si="61"/>
        <v>8618321.9311200008</v>
      </c>
      <c r="J138" s="29">
        <f t="shared" si="61"/>
        <v>9034874.1577907987</v>
      </c>
      <c r="K138" s="29">
        <f t="shared" si="61"/>
        <v>9938361.5735698789</v>
      </c>
    </row>
    <row r="139" spans="1:30">
      <c r="A139" s="24" t="s">
        <v>108</v>
      </c>
      <c r="B139" s="48">
        <f>B138*0.15</f>
        <v>685575</v>
      </c>
      <c r="C139" s="48">
        <f t="shared" ref="C139:F139" si="62">C138*0.15</f>
        <v>319980</v>
      </c>
      <c r="D139" s="48">
        <f t="shared" si="62"/>
        <v>782685</v>
      </c>
      <c r="E139" s="48">
        <f t="shared" si="62"/>
        <v>728250</v>
      </c>
      <c r="F139" s="48">
        <f t="shared" si="62"/>
        <v>870210</v>
      </c>
      <c r="G139" s="29">
        <f>G31*G138</f>
        <v>1411682.5440000007</v>
      </c>
      <c r="H139" s="29">
        <f>H31*H138</f>
        <v>1466581.3096000003</v>
      </c>
      <c r="I139" s="29">
        <f>I31*I138</f>
        <v>1723664.3862240002</v>
      </c>
      <c r="J139" s="29">
        <f>J31*J138</f>
        <v>1806974.8315581598</v>
      </c>
      <c r="K139" s="29">
        <f>K31*K138</f>
        <v>1987672.3147139759</v>
      </c>
    </row>
    <row r="140" spans="1:30">
      <c r="A140" s="24" t="s">
        <v>109</v>
      </c>
      <c r="B140" s="48">
        <f>B138-B139</f>
        <v>3884925</v>
      </c>
      <c r="C140" s="48">
        <f t="shared" ref="C140:F140" si="63">C138-C139</f>
        <v>1813220</v>
      </c>
      <c r="D140" s="48">
        <f t="shared" si="63"/>
        <v>4435215</v>
      </c>
      <c r="E140" s="48">
        <f t="shared" si="63"/>
        <v>4126750</v>
      </c>
      <c r="F140" s="48">
        <f t="shared" si="63"/>
        <v>4931190</v>
      </c>
      <c r="G140" s="29">
        <f>G138-G139</f>
        <v>5646730.1760000018</v>
      </c>
      <c r="H140" s="29">
        <f t="shared" ref="H140:K140" si="64">H138-H139</f>
        <v>5866325.2384000001</v>
      </c>
      <c r="I140" s="29">
        <f t="shared" si="64"/>
        <v>6894657.544896001</v>
      </c>
      <c r="J140" s="29">
        <f t="shared" si="64"/>
        <v>7227899.3262326391</v>
      </c>
      <c r="K140" s="29">
        <f t="shared" si="64"/>
        <v>7950689.2588559035</v>
      </c>
    </row>
    <row r="141" spans="1:30">
      <c r="A141" s="24" t="s">
        <v>110</v>
      </c>
      <c r="B141" s="48">
        <v>1377300</v>
      </c>
      <c r="C141" s="48">
        <v>1431300</v>
      </c>
      <c r="D141" s="48">
        <v>1441700</v>
      </c>
      <c r="E141" s="48">
        <v>1447900</v>
      </c>
      <c r="F141" s="48">
        <v>1362600</v>
      </c>
      <c r="G141" s="29">
        <f>G25*G93</f>
        <v>1337585.6000000001</v>
      </c>
      <c r="H141" s="29">
        <f>H25*H93</f>
        <v>1669306.8288</v>
      </c>
      <c r="I141" s="29">
        <f>I25*I93</f>
        <v>1736079.1019520001</v>
      </c>
      <c r="J141" s="29">
        <f>J25*J93</f>
        <v>1805522.2660300799</v>
      </c>
      <c r="K141" s="29">
        <f>K25*K93</f>
        <v>1877743.1566712833</v>
      </c>
    </row>
    <row r="142" spans="1:30">
      <c r="A142" s="24" t="s">
        <v>111</v>
      </c>
      <c r="B142" s="48">
        <f t="shared" ref="B142:K142" si="65">B110</f>
        <v>0</v>
      </c>
      <c r="C142" s="48">
        <f t="shared" si="65"/>
        <v>1974700</v>
      </c>
      <c r="D142" s="48">
        <f t="shared" si="65"/>
        <v>-1241900</v>
      </c>
      <c r="E142" s="48">
        <f t="shared" si="65"/>
        <v>646300</v>
      </c>
      <c r="F142" s="48">
        <f t="shared" si="65"/>
        <v>-417300</v>
      </c>
      <c r="G142" s="29">
        <f t="shared" si="65"/>
        <v>-868417.64399999939</v>
      </c>
      <c r="H142" s="29">
        <f t="shared" si="65"/>
        <v>-239201.76440000068</v>
      </c>
      <c r="I142" s="29">
        <f t="shared" si="65"/>
        <v>-289434.13492399966</v>
      </c>
      <c r="J142" s="29">
        <f t="shared" si="65"/>
        <v>-321271.88976564026</v>
      </c>
      <c r="K142" s="29">
        <f t="shared" si="65"/>
        <v>-324192.543308964</v>
      </c>
    </row>
    <row r="143" spans="1:30">
      <c r="A143" s="24" t="s">
        <v>112</v>
      </c>
      <c r="B143" s="48">
        <f t="shared" ref="B143:K143" si="66">B111</f>
        <v>0</v>
      </c>
      <c r="C143" s="48">
        <f t="shared" si="66"/>
        <v>9375100</v>
      </c>
      <c r="D143" s="48">
        <f t="shared" si="66"/>
        <v>1671700</v>
      </c>
      <c r="E143" s="48">
        <f t="shared" si="66"/>
        <v>1418500</v>
      </c>
      <c r="F143" s="48">
        <f t="shared" si="66"/>
        <v>2586200</v>
      </c>
      <c r="G143" s="29">
        <f t="shared" si="66"/>
        <v>1576512.6</v>
      </c>
      <c r="H143" s="29">
        <f t="shared" si="66"/>
        <v>1777057.6888000013</v>
      </c>
      <c r="I143" s="29">
        <f t="shared" si="66"/>
        <v>1880167.6495519993</v>
      </c>
      <c r="J143" s="29">
        <f t="shared" si="66"/>
        <v>1985480.3495420788</v>
      </c>
      <c r="K143" s="29">
        <f t="shared" si="66"/>
        <v>2093199.1978912852</v>
      </c>
    </row>
    <row r="144" spans="1:30">
      <c r="A144" s="24" t="s">
        <v>106</v>
      </c>
      <c r="B144" s="48">
        <f>B140+B141-B142-B143</f>
        <v>5262225</v>
      </c>
      <c r="C144" s="48">
        <f t="shared" ref="C144:F144" si="67">C140+C141-C142-C143</f>
        <v>-8105280</v>
      </c>
      <c r="D144" s="48">
        <f t="shared" si="67"/>
        <v>5447115</v>
      </c>
      <c r="E144" s="48">
        <f t="shared" si="67"/>
        <v>3509850</v>
      </c>
      <c r="F144" s="48">
        <f t="shared" si="67"/>
        <v>4124890</v>
      </c>
      <c r="G144" s="29">
        <f>G140+G141-G142-G143</f>
        <v>6276220.8200000022</v>
      </c>
      <c r="H144" s="29">
        <f t="shared" ref="H144:K144" si="68">H140+H141-H142-H143</f>
        <v>5997776.1427999996</v>
      </c>
      <c r="I144" s="29">
        <f t="shared" si="68"/>
        <v>7040003.1322200019</v>
      </c>
      <c r="J144" s="29">
        <f t="shared" si="68"/>
        <v>7369213.132486281</v>
      </c>
      <c r="K144" s="29">
        <f t="shared" si="68"/>
        <v>8059425.7609448656</v>
      </c>
    </row>
    <row r="145" spans="1:11">
      <c r="A145" s="34" t="s">
        <v>113</v>
      </c>
      <c r="B145" s="48"/>
      <c r="C145" s="48"/>
      <c r="D145" s="48"/>
      <c r="E145" s="48"/>
      <c r="F145" s="48"/>
      <c r="G145" s="29"/>
      <c r="H145" s="29"/>
      <c r="I145" s="29"/>
      <c r="J145" s="29"/>
      <c r="K145" s="29">
        <f>K144*(1+tgr)/(wacc-tgr)</f>
        <v>153536733.46226582</v>
      </c>
    </row>
    <row r="146" spans="1:11">
      <c r="A146" s="24" t="s">
        <v>114</v>
      </c>
      <c r="B146" s="35"/>
      <c r="C146" s="24"/>
      <c r="D146" s="24"/>
      <c r="E146" s="24"/>
      <c r="F146" s="24"/>
      <c r="G146" s="29">
        <f>G144/(1+wacc)^G20</f>
        <v>5817757.4650820894</v>
      </c>
      <c r="H146" s="29">
        <f>H144/(1+wacc)^H20</f>
        <v>5153532.8197595309</v>
      </c>
      <c r="I146" s="29">
        <f>I144/(1+wacc)^I20</f>
        <v>5607187.0376925189</v>
      </c>
      <c r="J146" s="29">
        <f>J144/(1+wacc)^J20</f>
        <v>5440648.9538218025</v>
      </c>
      <c r="K146" s="29">
        <f>K144/(1+wacc)^K20</f>
        <v>5515578.6717776414</v>
      </c>
    </row>
    <row r="147" spans="1:11">
      <c r="A147" s="24" t="s">
        <v>115</v>
      </c>
      <c r="B147" s="24"/>
      <c r="C147" s="24"/>
      <c r="D147" s="24"/>
      <c r="E147" s="24"/>
      <c r="F147" s="24"/>
      <c r="G147" s="29"/>
      <c r="H147" s="29"/>
      <c r="I147" s="29"/>
      <c r="J147" s="29"/>
      <c r="K147" s="29">
        <f>K145/(1+wacc)^K20</f>
        <v>105074971.53489508</v>
      </c>
    </row>
    <row r="148" spans="1:11" s="14" customFormat="1">
      <c r="A148" s="24" t="s">
        <v>116</v>
      </c>
      <c r="B148" s="24">
        <f>SUM(G146:K147)</f>
        <v>132609676.48302865</v>
      </c>
    </row>
    <row r="149" spans="1:11" s="14" customFormat="1">
      <c r="A149" s="24" t="s">
        <v>117</v>
      </c>
      <c r="B149" s="24">
        <f>F106</f>
        <v>24599800</v>
      </c>
    </row>
    <row r="150" spans="1:11" s="14" customFormat="1">
      <c r="A150" s="24" t="s">
        <v>118</v>
      </c>
      <c r="B150" s="24">
        <f>B148-B149+F88</f>
        <v>111962876.48302865</v>
      </c>
    </row>
    <row r="151" spans="1:11" s="14" customFormat="1">
      <c r="A151" s="45" t="s">
        <v>119</v>
      </c>
      <c r="B151" s="73">
        <v>1136600</v>
      </c>
    </row>
    <row r="152" spans="1:11" s="14" customFormat="1">
      <c r="A152" s="24" t="s">
        <v>120</v>
      </c>
      <c r="B152" s="36">
        <f>B150/B151</f>
        <v>98.506841881953761</v>
      </c>
    </row>
  </sheetData>
  <sortState xmlns:xlrd2="http://schemas.microsoft.com/office/spreadsheetml/2017/richdata2" ref="F58:G58">
    <sortCondition ref="G58"/>
  </sortState>
  <mergeCells count="2">
    <mergeCell ref="F55:F56"/>
    <mergeCell ref="F74:F75"/>
  </mergeCells>
  <phoneticPr fontId="10" type="noConversion"/>
  <pageMargins left="0.7" right="0.7" top="0.75" bottom="0.75" header="0.3" footer="0.3"/>
  <ignoredErrors>
    <ignoredError sqref="B112:F112 B113:F113" formulaRange="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78A41-D1BE-414A-8417-6BDE5FBB3F63}">
  <dimension ref="A7:K86"/>
  <sheetViews>
    <sheetView workbookViewId="0">
      <selection activeCell="H84" sqref="H84"/>
    </sheetView>
  </sheetViews>
  <sheetFormatPr baseColWidth="10" defaultColWidth="11" defaultRowHeight="16"/>
  <cols>
    <col min="1" max="1" width="33.5" bestFit="1" customWidth="1"/>
    <col min="2" max="11" width="13.6640625" bestFit="1" customWidth="1"/>
  </cols>
  <sheetData>
    <row r="7" spans="1:7" ht="17" thickBot="1"/>
    <row r="8" spans="1:7" ht="17" thickBot="1">
      <c r="A8" s="250" t="s">
        <v>36</v>
      </c>
      <c r="B8" s="251" t="s">
        <v>54</v>
      </c>
      <c r="C8" s="202" t="s">
        <v>55</v>
      </c>
      <c r="D8" s="202" t="s">
        <v>56</v>
      </c>
      <c r="E8" s="202" t="s">
        <v>57</v>
      </c>
      <c r="F8" s="202" t="s">
        <v>58</v>
      </c>
      <c r="G8" s="203" t="s">
        <v>59</v>
      </c>
    </row>
    <row r="9" spans="1:7">
      <c r="A9" s="252" t="s">
        <v>195</v>
      </c>
      <c r="B9" s="253"/>
      <c r="C9" s="253"/>
      <c r="D9" s="253"/>
      <c r="E9" s="253"/>
      <c r="F9" s="253"/>
      <c r="G9" s="254"/>
    </row>
    <row r="10" spans="1:7">
      <c r="A10" s="204" t="s">
        <v>196</v>
      </c>
      <c r="B10" s="25"/>
      <c r="C10" s="27"/>
      <c r="D10" s="27"/>
      <c r="E10" s="27"/>
      <c r="F10" s="27"/>
      <c r="G10" s="206"/>
    </row>
    <row r="11" spans="1:7">
      <c r="A11" s="247" t="s">
        <v>175</v>
      </c>
      <c r="B11" s="25">
        <v>4.0328895849647717E-2</v>
      </c>
      <c r="C11" s="27">
        <v>4.0000000000000036E-2</v>
      </c>
      <c r="D11" s="27">
        <v>4.0000000000000036E-2</v>
      </c>
      <c r="E11" s="27">
        <v>4.0000000000000036E-2</v>
      </c>
      <c r="F11" s="27">
        <v>4.0000000000000036E-2</v>
      </c>
      <c r="G11" s="206">
        <v>4.0000000000000036E-2</v>
      </c>
    </row>
    <row r="12" spans="1:7">
      <c r="A12" s="247" t="s">
        <v>176</v>
      </c>
      <c r="B12" s="25">
        <v>0.13042033560392086</v>
      </c>
      <c r="C12" s="27">
        <v>0.13000000000000012</v>
      </c>
      <c r="D12" s="27">
        <v>4.0000000000000036E-2</v>
      </c>
      <c r="E12" s="27">
        <v>4.0000000000000036E-2</v>
      </c>
      <c r="F12" s="27">
        <v>3.9999999999999813E-2</v>
      </c>
      <c r="G12" s="206">
        <v>4.0000000000000036E-2</v>
      </c>
    </row>
    <row r="13" spans="1:7">
      <c r="A13" s="247" t="s">
        <v>177</v>
      </c>
      <c r="B13" s="25">
        <v>7.036669970267595E-2</v>
      </c>
      <c r="C13" s="27">
        <v>6.999999999999984E-2</v>
      </c>
      <c r="D13" s="27">
        <v>7.0000000000000062E-2</v>
      </c>
      <c r="E13" s="27">
        <v>7.0000000000000062E-2</v>
      </c>
      <c r="F13" s="27">
        <v>7.0000000000000062E-2</v>
      </c>
      <c r="G13" s="206">
        <v>7.0000000000000062E-2</v>
      </c>
    </row>
    <row r="14" spans="1:7">
      <c r="A14" s="204"/>
      <c r="B14" s="25"/>
      <c r="C14" s="27"/>
      <c r="D14" s="27"/>
      <c r="E14" s="27"/>
      <c r="F14" s="27"/>
      <c r="G14" s="206"/>
    </row>
    <row r="15" spans="1:7">
      <c r="A15" s="204" t="s">
        <v>197</v>
      </c>
      <c r="B15" s="241"/>
      <c r="C15" s="230"/>
      <c r="D15" s="230"/>
      <c r="E15" s="230"/>
      <c r="F15" s="230"/>
      <c r="G15" s="231"/>
    </row>
    <row r="16" spans="1:7">
      <c r="A16" s="247" t="s">
        <v>175</v>
      </c>
      <c r="B16" s="241">
        <v>10628</v>
      </c>
      <c r="C16" s="212">
        <f>C11*B16+B16</f>
        <v>11053.12</v>
      </c>
      <c r="D16" s="212">
        <f>D11*C16+C16</f>
        <v>11495.2448</v>
      </c>
      <c r="E16" s="212">
        <f t="shared" ref="E16:G18" si="0">E11*D16+D16</f>
        <v>11955.054592</v>
      </c>
      <c r="F16" s="212">
        <f t="shared" si="0"/>
        <v>12433.256775680002</v>
      </c>
      <c r="G16" s="234">
        <f t="shared" si="0"/>
        <v>12930.587046707202</v>
      </c>
    </row>
    <row r="17" spans="1:7">
      <c r="A17" s="247" t="s">
        <v>176</v>
      </c>
      <c r="B17" s="241">
        <v>6804</v>
      </c>
      <c r="C17" s="212">
        <f t="shared" ref="C17:D18" si="1">C12*B17+B17</f>
        <v>7688.52</v>
      </c>
      <c r="D17" s="212">
        <f t="shared" si="1"/>
        <v>7996.0608000000011</v>
      </c>
      <c r="E17" s="212">
        <f t="shared" si="0"/>
        <v>8315.9032320000006</v>
      </c>
      <c r="F17" s="212">
        <f t="shared" si="0"/>
        <v>8648.5393612799999</v>
      </c>
      <c r="G17" s="234">
        <f t="shared" si="0"/>
        <v>8994.4809357312006</v>
      </c>
    </row>
    <row r="18" spans="1:7">
      <c r="A18" s="247" t="s">
        <v>177</v>
      </c>
      <c r="B18" s="241">
        <v>2160</v>
      </c>
      <c r="C18" s="212">
        <f t="shared" si="1"/>
        <v>2311.1999999999998</v>
      </c>
      <c r="D18" s="212">
        <f t="shared" si="1"/>
        <v>2472.9839999999999</v>
      </c>
      <c r="E18" s="212">
        <f t="shared" si="0"/>
        <v>2646.0928800000002</v>
      </c>
      <c r="F18" s="212">
        <f t="shared" si="0"/>
        <v>2831.3193816000003</v>
      </c>
      <c r="G18" s="234">
        <f t="shared" si="0"/>
        <v>3029.5117383120005</v>
      </c>
    </row>
    <row r="19" spans="1:7">
      <c r="A19" s="204" t="s">
        <v>181</v>
      </c>
      <c r="B19" s="241">
        <f>SUM(B16:B18)</f>
        <v>19592</v>
      </c>
      <c r="C19" s="212">
        <f>SUM(C16:C18)</f>
        <v>21052.84</v>
      </c>
      <c r="D19" s="212">
        <f t="shared" ref="D19:G19" si="2">SUM(D16:D18)</f>
        <v>21964.2896</v>
      </c>
      <c r="E19" s="212">
        <f t="shared" si="2"/>
        <v>22917.050704000001</v>
      </c>
      <c r="F19" s="212">
        <f t="shared" si="2"/>
        <v>23913.11551856</v>
      </c>
      <c r="G19" s="234">
        <f t="shared" si="2"/>
        <v>24954.579720750404</v>
      </c>
    </row>
    <row r="20" spans="1:7">
      <c r="A20" s="204"/>
      <c r="B20" s="241"/>
      <c r="C20" s="27"/>
      <c r="D20" s="212"/>
      <c r="E20" s="212"/>
      <c r="F20" s="212"/>
      <c r="G20" s="234"/>
    </row>
    <row r="21" spans="1:7">
      <c r="A21" s="204" t="s">
        <v>198</v>
      </c>
      <c r="B21" s="24"/>
      <c r="C21" s="212"/>
      <c r="D21" s="212"/>
      <c r="E21" s="212"/>
      <c r="F21" s="212"/>
      <c r="G21" s="234"/>
    </row>
    <row r="22" spans="1:7">
      <c r="A22" s="247" t="s">
        <v>175</v>
      </c>
      <c r="B22" s="241">
        <v>23905400</v>
      </c>
      <c r="C22" s="212">
        <f>C16*$C$26</f>
        <v>16954029.406059619</v>
      </c>
      <c r="D22" s="212">
        <f>D16*$D$26</f>
        <v>18690122.017240122</v>
      </c>
      <c r="E22" s="212">
        <f>E16*$E$26</f>
        <v>20798367.780784804</v>
      </c>
      <c r="F22" s="212">
        <f>F16*$F$26</f>
        <v>23144423.666457336</v>
      </c>
      <c r="G22" s="234">
        <f>G16*$G$26</f>
        <v>25514412.649902567</v>
      </c>
    </row>
    <row r="23" spans="1:7">
      <c r="A23" s="247" t="s">
        <v>176</v>
      </c>
      <c r="B23" s="330">
        <v>5556900</v>
      </c>
      <c r="C23" s="212">
        <f t="shared" ref="C23:C24" si="3">C17*$C$26</f>
        <v>11793176.42159657</v>
      </c>
      <c r="D23" s="212">
        <f t="shared" ref="D23:D24" si="4">D17*$D$26</f>
        <v>13000797.68716806</v>
      </c>
      <c r="E23" s="212">
        <f t="shared" ref="E23:E24" si="5">E17*$E$26</f>
        <v>14467287.666280616</v>
      </c>
      <c r="F23" s="212">
        <f t="shared" ref="F23:F24" si="6">F17*$F$26</f>
        <v>16099197.715037068</v>
      </c>
      <c r="G23" s="234">
        <f t="shared" ref="G23:G24" si="7">G17*$G$26</f>
        <v>17747755.561056864</v>
      </c>
    </row>
    <row r="24" spans="1:7">
      <c r="A24" s="247" t="s">
        <v>177</v>
      </c>
      <c r="B24" s="330"/>
      <c r="C24" s="212">
        <f t="shared" si="3"/>
        <v>3545076.2104532458</v>
      </c>
      <c r="D24" s="212">
        <f t="shared" si="4"/>
        <v>4020825.4378960715</v>
      </c>
      <c r="E24" s="212">
        <f t="shared" si="5"/>
        <v>4603443.0438472126</v>
      </c>
      <c r="F24" s="212">
        <f t="shared" si="6"/>
        <v>5270481.9409006741</v>
      </c>
      <c r="G24" s="234">
        <f t="shared" si="7"/>
        <v>5977780.6173695447</v>
      </c>
    </row>
    <row r="25" spans="1:7">
      <c r="A25" s="247" t="s">
        <v>181</v>
      </c>
      <c r="B25" s="267">
        <f>SUM(B22:B24)</f>
        <v>29462300</v>
      </c>
      <c r="C25" s="212">
        <f>SUM(C22:C24)</f>
        <v>32292282.038109433</v>
      </c>
      <c r="D25" s="212">
        <f t="shared" ref="D25:G25" si="8">SUM(D22:D24)</f>
        <v>35711745.142304257</v>
      </c>
      <c r="E25" s="212">
        <f t="shared" si="8"/>
        <v>39869098.490912631</v>
      </c>
      <c r="F25" s="212">
        <f t="shared" si="8"/>
        <v>44514103.322395079</v>
      </c>
      <c r="G25" s="234">
        <f t="shared" si="8"/>
        <v>49239948.828328982</v>
      </c>
    </row>
    <row r="26" spans="1:7">
      <c r="A26" s="204" t="s">
        <v>182</v>
      </c>
      <c r="B26" s="241">
        <f>B25/B19</f>
        <v>1503.7923642302981</v>
      </c>
      <c r="C26" s="212">
        <f>0.02*B26+B26</f>
        <v>1533.868211514904</v>
      </c>
      <c r="D26" s="212">
        <f>0.06*C26+C26</f>
        <v>1625.9003042057982</v>
      </c>
      <c r="E26" s="212">
        <f>0.07*D26+D26</f>
        <v>1739.7133255002041</v>
      </c>
      <c r="F26" s="212">
        <f>0.07*E26+E26</f>
        <v>1861.4932582852184</v>
      </c>
      <c r="G26" s="234">
        <f>0.06*F26+F26</f>
        <v>1973.1828537823314</v>
      </c>
    </row>
    <row r="27" spans="1:7">
      <c r="A27" s="204" t="s">
        <v>199</v>
      </c>
      <c r="B27" s="241"/>
      <c r="C27" s="27">
        <f>C26/B26-1</f>
        <v>2.0000000000000018E-2</v>
      </c>
      <c r="D27" s="27">
        <f t="shared" ref="D27:G27" si="9">D26/C26-1</f>
        <v>6.0000000000000053E-2</v>
      </c>
      <c r="E27" s="27">
        <f t="shared" si="9"/>
        <v>7.0000000000000062E-2</v>
      </c>
      <c r="F27" s="27">
        <f t="shared" si="9"/>
        <v>7.0000000000000062E-2</v>
      </c>
      <c r="G27" s="206">
        <f t="shared" si="9"/>
        <v>6.0000000000000053E-2</v>
      </c>
    </row>
    <row r="28" spans="1:7">
      <c r="A28" s="204"/>
      <c r="B28" s="241"/>
      <c r="C28" s="27"/>
      <c r="D28" s="27"/>
      <c r="E28" s="27"/>
      <c r="F28" s="27"/>
      <c r="G28" s="206"/>
    </row>
    <row r="29" spans="1:7">
      <c r="A29" s="245" t="s">
        <v>183</v>
      </c>
      <c r="B29" s="244"/>
      <c r="C29" s="244"/>
      <c r="D29" s="244"/>
      <c r="E29" s="244"/>
      <c r="F29" s="244"/>
      <c r="G29" s="246"/>
    </row>
    <row r="30" spans="1:7">
      <c r="A30" s="204" t="s">
        <v>196</v>
      </c>
      <c r="B30" s="242"/>
      <c r="C30" s="233"/>
      <c r="D30" s="233"/>
      <c r="E30" s="233"/>
      <c r="F30" s="233"/>
      <c r="G30" s="235"/>
    </row>
    <row r="31" spans="1:7">
      <c r="A31" s="247" t="s">
        <v>175</v>
      </c>
      <c r="B31" s="25">
        <v>1.4550077694589714E-2</v>
      </c>
      <c r="C31" s="27">
        <v>4.0000000000000036E-2</v>
      </c>
      <c r="D31" s="27">
        <v>4.0000000000000036E-2</v>
      </c>
      <c r="E31" s="27">
        <v>4.0000000000000036E-2</v>
      </c>
      <c r="F31" s="27">
        <v>4.0000000000000036E-2</v>
      </c>
      <c r="G31" s="206">
        <v>4.0000000000000036E-2</v>
      </c>
    </row>
    <row r="32" spans="1:7">
      <c r="A32" s="247" t="s">
        <v>176</v>
      </c>
      <c r="B32" s="25">
        <v>0</v>
      </c>
      <c r="C32" s="27">
        <v>0.13000000000000012</v>
      </c>
      <c r="D32" s="27">
        <v>4.0000000000000036E-2</v>
      </c>
      <c r="E32" s="27">
        <v>4.0000000000000036E-2</v>
      </c>
      <c r="F32" s="27">
        <v>3.9999999999999813E-2</v>
      </c>
      <c r="G32" s="206">
        <v>4.0000000000000036E-2</v>
      </c>
    </row>
    <row r="33" spans="1:7">
      <c r="A33" s="247" t="s">
        <v>177</v>
      </c>
      <c r="B33" s="25">
        <v>5.6592965975484022E-2</v>
      </c>
      <c r="C33" s="27">
        <v>6.999999999999984E-2</v>
      </c>
      <c r="D33" s="27">
        <v>7.0000000000000062E-2</v>
      </c>
      <c r="E33" s="27">
        <v>7.0000000000000062E-2</v>
      </c>
      <c r="F33" s="27">
        <v>7.0000000000000062E-2</v>
      </c>
      <c r="G33" s="206">
        <v>7.0000000000000062E-2</v>
      </c>
    </row>
    <row r="34" spans="1:7">
      <c r="A34" s="204"/>
      <c r="B34" s="242"/>
      <c r="C34" s="233"/>
      <c r="D34" s="233"/>
      <c r="E34" s="233"/>
      <c r="F34" s="233"/>
      <c r="G34" s="235"/>
    </row>
    <row r="35" spans="1:7">
      <c r="A35" s="204" t="s">
        <v>197</v>
      </c>
      <c r="B35" s="241"/>
      <c r="C35" s="233"/>
      <c r="D35" s="233"/>
      <c r="E35" s="233"/>
      <c r="F35" s="233"/>
      <c r="G35" s="235"/>
    </row>
    <row r="36" spans="1:7">
      <c r="A36" s="247" t="s">
        <v>175</v>
      </c>
      <c r="B36" s="241">
        <v>7182</v>
      </c>
      <c r="C36" s="212">
        <f>C31*B36+B36</f>
        <v>7469.2800000000007</v>
      </c>
      <c r="D36" s="212">
        <f t="shared" ref="D36:G36" si="10">D31*C36+C36</f>
        <v>7768.0512000000008</v>
      </c>
      <c r="E36" s="212">
        <f t="shared" si="10"/>
        <v>8078.7732480000013</v>
      </c>
      <c r="F36" s="212">
        <f t="shared" si="10"/>
        <v>8401.924177920002</v>
      </c>
      <c r="G36" s="234">
        <f t="shared" si="10"/>
        <v>8738.001145036802</v>
      </c>
    </row>
    <row r="37" spans="1:7">
      <c r="A37" s="247" t="s">
        <v>176</v>
      </c>
      <c r="B37" s="241">
        <v>0</v>
      </c>
      <c r="C37" s="212">
        <f t="shared" ref="C37:G38" si="11">C32*B37+B37</f>
        <v>0</v>
      </c>
      <c r="D37" s="212">
        <f t="shared" si="11"/>
        <v>0</v>
      </c>
      <c r="E37" s="212">
        <f t="shared" si="11"/>
        <v>0</v>
      </c>
      <c r="F37" s="212">
        <f t="shared" si="11"/>
        <v>0</v>
      </c>
      <c r="G37" s="234">
        <f t="shared" si="11"/>
        <v>0</v>
      </c>
    </row>
    <row r="38" spans="1:7">
      <c r="A38" s="247" t="s">
        <v>177</v>
      </c>
      <c r="B38" s="241">
        <v>11264</v>
      </c>
      <c r="C38" s="212">
        <f t="shared" si="11"/>
        <v>12052.479999999998</v>
      </c>
      <c r="D38" s="212">
        <f t="shared" si="11"/>
        <v>12896.153599999998</v>
      </c>
      <c r="E38" s="212">
        <f t="shared" si="11"/>
        <v>13798.884351999999</v>
      </c>
      <c r="F38" s="212">
        <f t="shared" si="11"/>
        <v>14764.80625664</v>
      </c>
      <c r="G38" s="234">
        <f t="shared" si="11"/>
        <v>15798.342694604802</v>
      </c>
    </row>
    <row r="39" spans="1:7">
      <c r="A39" s="204" t="s">
        <v>181</v>
      </c>
      <c r="B39" s="241">
        <f>SUM(B36:B38)</f>
        <v>18446</v>
      </c>
      <c r="C39" s="212">
        <f>SUM(C36:C38)</f>
        <v>19521.759999999998</v>
      </c>
      <c r="D39" s="212">
        <f t="shared" ref="D39:G39" si="12">SUM(D36:D38)</f>
        <v>20664.2048</v>
      </c>
      <c r="E39" s="212">
        <f t="shared" si="12"/>
        <v>21877.657599999999</v>
      </c>
      <c r="F39" s="212">
        <f t="shared" si="12"/>
        <v>23166.730434560002</v>
      </c>
      <c r="G39" s="234">
        <f t="shared" si="12"/>
        <v>24536.343839641602</v>
      </c>
    </row>
    <row r="40" spans="1:7">
      <c r="A40" s="204"/>
      <c r="B40" s="241"/>
      <c r="C40" s="212"/>
      <c r="D40" s="212"/>
      <c r="E40" s="212"/>
      <c r="F40" s="212"/>
      <c r="G40" s="234"/>
    </row>
    <row r="41" spans="1:7">
      <c r="A41" s="204" t="s">
        <v>198</v>
      </c>
      <c r="B41" s="5"/>
      <c r="C41" s="27"/>
      <c r="D41" s="27"/>
      <c r="E41" s="27"/>
      <c r="F41" s="27"/>
      <c r="G41" s="206"/>
    </row>
    <row r="42" spans="1:7">
      <c r="A42" s="247" t="s">
        <v>175</v>
      </c>
      <c r="B42" s="241">
        <v>2659100</v>
      </c>
      <c r="C42" s="212">
        <f>C36*$C$46</f>
        <v>1863859.4954526727</v>
      </c>
      <c r="D42" s="212">
        <f>D36*$D$46</f>
        <v>1996566.2915289029</v>
      </c>
      <c r="E42" s="212">
        <f>E36*$E$46</f>
        <v>2159486.1009176616</v>
      </c>
      <c r="F42" s="212">
        <f>F36*$F$46</f>
        <v>2335700.1667525433</v>
      </c>
      <c r="G42" s="234">
        <f>G36*$G$46</f>
        <v>2502002.0186253241</v>
      </c>
    </row>
    <row r="43" spans="1:7">
      <c r="A43" s="247" t="s">
        <v>176</v>
      </c>
      <c r="B43" s="330">
        <v>1853600</v>
      </c>
      <c r="C43" s="212">
        <f>C37*$C$46</f>
        <v>0</v>
      </c>
      <c r="D43" s="212">
        <f t="shared" ref="D43:D44" si="13">D37*$D$46</f>
        <v>0</v>
      </c>
      <c r="E43" s="212">
        <f t="shared" ref="E43:E44" si="14">E37*$E$46</f>
        <v>0</v>
      </c>
      <c r="F43" s="212">
        <f t="shared" ref="F43:F44" si="15">F37*$F$46</f>
        <v>0</v>
      </c>
      <c r="G43" s="234">
        <f t="shared" ref="G43:G44" si="16">G37*$G$46</f>
        <v>0</v>
      </c>
    </row>
    <row r="44" spans="1:7">
      <c r="A44" s="247" t="s">
        <v>177</v>
      </c>
      <c r="B44" s="330"/>
      <c r="C44" s="212">
        <f>C38*$C$46</f>
        <v>3007536.1067938842</v>
      </c>
      <c r="D44" s="212">
        <f t="shared" si="13"/>
        <v>3314605.5432975399</v>
      </c>
      <c r="E44" s="212">
        <f t="shared" si="14"/>
        <v>3688493.0485815029</v>
      </c>
      <c r="F44" s="212">
        <f t="shared" si="15"/>
        <v>4104555.0644614971</v>
      </c>
      <c r="G44" s="234">
        <f t="shared" si="16"/>
        <v>4523630.1365430159</v>
      </c>
    </row>
    <row r="45" spans="1:7">
      <c r="A45" s="247" t="s">
        <v>181</v>
      </c>
      <c r="B45" s="242">
        <f>SUM(B42:B44)</f>
        <v>4512700</v>
      </c>
      <c r="C45" s="233">
        <f>SUM(C42:C44)</f>
        <v>4871395.6022465564</v>
      </c>
      <c r="D45" s="233">
        <f t="shared" ref="D45:G45" si="17">SUM(D42:D44)</f>
        <v>5311171.8348264433</v>
      </c>
      <c r="E45" s="233">
        <f t="shared" si="17"/>
        <v>5847979.1494991649</v>
      </c>
      <c r="F45" s="233">
        <f t="shared" si="17"/>
        <v>6440255.2312140409</v>
      </c>
      <c r="G45" s="235">
        <f t="shared" si="17"/>
        <v>7025632.1551683396</v>
      </c>
    </row>
    <row r="46" spans="1:7">
      <c r="A46" s="204" t="s">
        <v>182</v>
      </c>
      <c r="B46" s="243">
        <f>B45/B39</f>
        <v>244.6438252195598</v>
      </c>
      <c r="C46" s="212">
        <f>0.02*B46+B46</f>
        <v>249.53670172395098</v>
      </c>
      <c r="D46" s="212">
        <f>0.03*C46+C46</f>
        <v>257.0228027756695</v>
      </c>
      <c r="E46" s="212">
        <f>0.04*D46+D46</f>
        <v>267.3037148866963</v>
      </c>
      <c r="F46" s="212">
        <f>0.04*E46+E46</f>
        <v>277.99586348216417</v>
      </c>
      <c r="G46" s="234">
        <f t="shared" ref="G46" si="18">0.03*F46+F46</f>
        <v>286.33573938662909</v>
      </c>
    </row>
    <row r="47" spans="1:7">
      <c r="A47" s="204" t="s">
        <v>199</v>
      </c>
      <c r="B47" s="25"/>
      <c r="C47" s="27">
        <f>C46/B46-1</f>
        <v>2.0000000000000018E-2</v>
      </c>
      <c r="D47" s="27">
        <f t="shared" ref="D47:G47" si="19">D46/C46-1</f>
        <v>3.0000000000000027E-2</v>
      </c>
      <c r="E47" s="27">
        <f t="shared" si="19"/>
        <v>4.0000000000000036E-2</v>
      </c>
      <c r="F47" s="27">
        <f t="shared" si="19"/>
        <v>4.0000000000000036E-2</v>
      </c>
      <c r="G47" s="206">
        <f t="shared" si="19"/>
        <v>3.0000000000000027E-2</v>
      </c>
    </row>
    <row r="48" spans="1:7">
      <c r="A48" s="204"/>
      <c r="B48" s="25"/>
      <c r="C48" s="27"/>
      <c r="D48" s="27"/>
      <c r="E48" s="27"/>
      <c r="F48" s="27"/>
      <c r="G48" s="206"/>
    </row>
    <row r="49" spans="1:11">
      <c r="A49" s="245" t="s">
        <v>191</v>
      </c>
      <c r="B49" s="244"/>
      <c r="C49" s="244"/>
      <c r="D49" s="244"/>
      <c r="E49" s="244"/>
      <c r="F49" s="244"/>
      <c r="G49" s="246"/>
    </row>
    <row r="50" spans="1:11">
      <c r="A50" s="204" t="s">
        <v>41</v>
      </c>
      <c r="B50" s="241">
        <v>2000600</v>
      </c>
      <c r="C50" s="212">
        <v>2049726.3596440097</v>
      </c>
      <c r="D50" s="212">
        <v>2111827.4228693061</v>
      </c>
      <c r="E50" s="212">
        <v>2162488.6435881993</v>
      </c>
      <c r="F50" s="212">
        <v>2191960.0216308758</v>
      </c>
      <c r="G50" s="234">
        <v>2195369.4492666805</v>
      </c>
    </row>
    <row r="51" spans="1:11" ht="17" thickBot="1">
      <c r="A51" s="211" t="s">
        <v>200</v>
      </c>
      <c r="B51" s="255"/>
      <c r="C51" s="248">
        <f>C50/B50-1</f>
        <v>2.4555813078081412E-2</v>
      </c>
      <c r="D51" s="248">
        <f t="shared" ref="D51:G51" si="20">D50/C50-1</f>
        <v>3.0297245743613255E-2</v>
      </c>
      <c r="E51" s="248">
        <f t="shared" si="20"/>
        <v>2.3989280643993416E-2</v>
      </c>
      <c r="F51" s="248">
        <f t="shared" si="20"/>
        <v>1.3628454480008267E-2</v>
      </c>
      <c r="G51" s="249">
        <f t="shared" si="20"/>
        <v>1.5554241875579411E-3</v>
      </c>
    </row>
    <row r="55" spans="1:11" ht="17" thickBot="1"/>
    <row r="56" spans="1:11">
      <c r="A56" s="200" t="s">
        <v>100</v>
      </c>
      <c r="B56" s="201">
        <v>2019</v>
      </c>
      <c r="C56" s="201">
        <v>2020</v>
      </c>
      <c r="D56" s="201">
        <v>2021</v>
      </c>
      <c r="E56" s="201">
        <v>2022</v>
      </c>
      <c r="F56" s="201">
        <v>2023</v>
      </c>
      <c r="G56" s="202" t="s">
        <v>201</v>
      </c>
      <c r="H56" s="202" t="s">
        <v>202</v>
      </c>
      <c r="I56" s="202" t="s">
        <v>203</v>
      </c>
      <c r="J56" s="202" t="s">
        <v>204</v>
      </c>
      <c r="K56" s="202" t="s">
        <v>205</v>
      </c>
    </row>
    <row r="57" spans="1:11">
      <c r="A57" s="257" t="s">
        <v>191</v>
      </c>
      <c r="B57" s="24">
        <v>2089200</v>
      </c>
      <c r="C57" s="24">
        <v>2026300</v>
      </c>
      <c r="D57" s="24">
        <v>1770000</v>
      </c>
      <c r="E57" s="24">
        <v>2018700</v>
      </c>
      <c r="F57" s="24">
        <v>2000600</v>
      </c>
      <c r="G57" s="29">
        <v>2049726.3596440097</v>
      </c>
      <c r="H57" s="29">
        <v>2111827.4228693061</v>
      </c>
      <c r="I57" s="29">
        <v>2162488.6435881993</v>
      </c>
      <c r="J57" s="29">
        <v>2191960.0216308758</v>
      </c>
      <c r="K57" s="258">
        <v>2195369.4492666805</v>
      </c>
    </row>
    <row r="58" spans="1:11">
      <c r="A58" s="257" t="s">
        <v>189</v>
      </c>
      <c r="B58" s="24">
        <v>2875000</v>
      </c>
      <c r="C58" s="24">
        <v>2327100</v>
      </c>
      <c r="D58" s="24">
        <v>2683600</v>
      </c>
      <c r="E58" s="24">
        <v>3655500</v>
      </c>
      <c r="F58" s="24">
        <v>4512700</v>
      </c>
      <c r="G58" s="29">
        <v>4871395.6022465574</v>
      </c>
      <c r="H58" s="29">
        <v>5311171.8348264433</v>
      </c>
      <c r="I58" s="29">
        <v>5847979.149499164</v>
      </c>
      <c r="J58" s="29">
        <v>6440255.231214039</v>
      </c>
      <c r="K58" s="258">
        <v>7025632.1551683387</v>
      </c>
    </row>
    <row r="59" spans="1:11">
      <c r="A59" s="257" t="s">
        <v>187</v>
      </c>
      <c r="B59" s="24">
        <v>21544400</v>
      </c>
      <c r="C59" s="24">
        <v>19164600</v>
      </c>
      <c r="D59" s="24">
        <v>24607000</v>
      </c>
      <c r="E59" s="24">
        <v>26576100</v>
      </c>
      <c r="F59" s="24">
        <v>29462300</v>
      </c>
      <c r="G59" s="29">
        <v>32292282.038109433</v>
      </c>
      <c r="H59" s="29">
        <v>35711745.142304249</v>
      </c>
      <c r="I59" s="29">
        <v>39869098.490912631</v>
      </c>
      <c r="J59" s="29">
        <v>44514103.322395079</v>
      </c>
      <c r="K59" s="258">
        <v>49239948.828328975</v>
      </c>
    </row>
    <row r="61" spans="1:11">
      <c r="B61" s="300"/>
      <c r="C61" s="300"/>
      <c r="D61" s="300"/>
      <c r="E61" s="300"/>
      <c r="F61" s="300"/>
      <c r="G61" s="300"/>
      <c r="H61" s="300"/>
      <c r="I61" s="300"/>
      <c r="J61" s="300"/>
    </row>
    <row r="62" spans="1:11">
      <c r="B62" s="300"/>
      <c r="C62" s="300"/>
      <c r="D62" s="300"/>
      <c r="E62" s="300"/>
      <c r="F62" s="300"/>
      <c r="G62" s="300"/>
      <c r="H62" s="300"/>
      <c r="I62" s="300"/>
      <c r="J62" s="300"/>
    </row>
    <row r="63" spans="1:11">
      <c r="B63" s="300"/>
      <c r="C63" s="300"/>
      <c r="D63" s="300"/>
      <c r="E63" s="300"/>
      <c r="F63" s="300"/>
      <c r="G63" s="300"/>
      <c r="H63" s="300"/>
      <c r="I63" s="300"/>
      <c r="J63" s="300"/>
    </row>
    <row r="64" spans="1:11">
      <c r="B64" s="300"/>
      <c r="C64" s="300"/>
      <c r="D64" s="300"/>
      <c r="E64" s="300"/>
      <c r="F64" s="300"/>
      <c r="G64" s="300"/>
      <c r="H64" s="300"/>
      <c r="I64" s="300"/>
      <c r="J64" s="300"/>
    </row>
    <row r="65" spans="2:10">
      <c r="B65" s="300"/>
      <c r="C65" s="300"/>
      <c r="D65" s="300"/>
      <c r="E65" s="300"/>
      <c r="F65" s="300"/>
      <c r="G65" s="300"/>
      <c r="H65" s="300"/>
      <c r="I65" s="300"/>
      <c r="J65" s="300"/>
    </row>
    <row r="66" spans="2:10">
      <c r="B66" s="300"/>
      <c r="C66" s="300"/>
      <c r="D66" s="300"/>
      <c r="E66" s="300"/>
      <c r="F66" s="300"/>
      <c r="G66" s="300"/>
      <c r="H66" s="300"/>
      <c r="I66" s="300"/>
      <c r="J66" s="300"/>
    </row>
    <row r="67" spans="2:10">
      <c r="B67" s="300"/>
      <c r="C67" s="300"/>
      <c r="D67" s="300"/>
      <c r="E67" s="300"/>
      <c r="F67" s="300"/>
      <c r="G67" s="300"/>
      <c r="H67" s="300"/>
      <c r="I67" s="300"/>
      <c r="J67" s="300"/>
    </row>
    <row r="68" spans="2:10">
      <c r="B68" s="300"/>
      <c r="C68" s="300"/>
      <c r="D68" s="300"/>
      <c r="E68" s="300"/>
      <c r="F68" s="300"/>
      <c r="G68" s="300"/>
      <c r="H68" s="300"/>
      <c r="I68" s="300"/>
      <c r="J68" s="300"/>
    </row>
    <row r="69" spans="2:10">
      <c r="B69" s="300"/>
      <c r="C69" s="300"/>
      <c r="D69" s="300"/>
      <c r="E69" s="300"/>
      <c r="F69" s="300"/>
      <c r="G69" s="300"/>
      <c r="H69" s="300"/>
      <c r="I69" s="300"/>
      <c r="J69" s="300"/>
    </row>
    <row r="70" spans="2:10">
      <c r="B70" s="300"/>
      <c r="C70" s="300"/>
      <c r="D70" s="300"/>
      <c r="E70" s="300"/>
      <c r="F70" s="300"/>
      <c r="G70" s="300"/>
      <c r="H70" s="300"/>
      <c r="I70" s="300"/>
      <c r="J70" s="300"/>
    </row>
    <row r="71" spans="2:10">
      <c r="B71" s="300"/>
      <c r="C71" s="300"/>
      <c r="D71" s="300"/>
      <c r="E71" s="300"/>
      <c r="F71" s="300"/>
      <c r="G71" s="300"/>
      <c r="H71" s="300"/>
      <c r="I71" s="300"/>
      <c r="J71" s="300"/>
    </row>
    <row r="72" spans="2:10">
      <c r="B72" s="300"/>
      <c r="C72" s="300"/>
      <c r="D72" s="300"/>
      <c r="E72" s="300"/>
      <c r="F72" s="300"/>
      <c r="G72" s="300"/>
      <c r="H72" s="300"/>
      <c r="I72" s="300"/>
      <c r="J72" s="300"/>
    </row>
    <row r="73" spans="2:10">
      <c r="B73" s="300"/>
      <c r="C73" s="300"/>
      <c r="D73" s="300"/>
      <c r="E73" s="300"/>
      <c r="F73" s="300"/>
      <c r="G73" s="300"/>
      <c r="H73" s="300"/>
      <c r="I73" s="300"/>
      <c r="J73" s="300"/>
    </row>
    <row r="74" spans="2:10">
      <c r="B74" s="300"/>
      <c r="C74" s="300"/>
      <c r="D74" s="300"/>
      <c r="E74" s="300"/>
      <c r="F74" s="300"/>
      <c r="G74" s="300"/>
      <c r="H74" s="300"/>
      <c r="I74" s="300"/>
      <c r="J74" s="300"/>
    </row>
    <row r="75" spans="2:10">
      <c r="B75" s="300"/>
      <c r="C75" s="300"/>
      <c r="D75" s="300"/>
      <c r="E75" s="300"/>
      <c r="F75" s="300"/>
      <c r="G75" s="300"/>
      <c r="H75" s="300"/>
      <c r="I75" s="300"/>
      <c r="J75" s="300"/>
    </row>
    <row r="76" spans="2:10">
      <c r="B76" s="300"/>
      <c r="C76" s="300"/>
      <c r="D76" s="300"/>
      <c r="E76" s="300"/>
      <c r="F76" s="300"/>
      <c r="G76" s="300"/>
      <c r="H76" s="300"/>
      <c r="I76" s="300"/>
      <c r="J76" s="300"/>
    </row>
    <row r="77" spans="2:10">
      <c r="B77" s="300"/>
      <c r="C77" s="300"/>
      <c r="D77" s="300"/>
      <c r="E77" s="300"/>
      <c r="F77" s="300"/>
      <c r="G77" s="300"/>
      <c r="H77" s="300"/>
      <c r="I77" s="300"/>
      <c r="J77" s="300"/>
    </row>
    <row r="78" spans="2:10">
      <c r="B78" s="300"/>
      <c r="C78" s="300"/>
      <c r="D78" s="300"/>
      <c r="E78" s="300"/>
      <c r="F78" s="300"/>
      <c r="G78" s="300"/>
      <c r="H78" s="300"/>
      <c r="I78" s="300"/>
      <c r="J78" s="300"/>
    </row>
    <row r="79" spans="2:10">
      <c r="B79" s="300"/>
      <c r="C79" s="300"/>
      <c r="D79" s="300"/>
      <c r="E79" s="300"/>
      <c r="F79" s="300"/>
      <c r="G79" s="300"/>
      <c r="H79" s="300"/>
      <c r="I79" s="300"/>
      <c r="J79" s="300"/>
    </row>
    <row r="80" spans="2:10">
      <c r="B80" s="300"/>
      <c r="C80" s="300"/>
      <c r="D80" s="300"/>
      <c r="E80" s="300"/>
      <c r="F80" s="300"/>
      <c r="G80" s="300"/>
      <c r="H80" s="300"/>
      <c r="I80" s="300"/>
      <c r="J80" s="300"/>
    </row>
    <row r="81" spans="2:10">
      <c r="B81" s="300"/>
      <c r="C81" s="300"/>
      <c r="D81" s="300"/>
      <c r="E81" s="300"/>
      <c r="F81" s="300"/>
      <c r="G81" s="300"/>
      <c r="H81" s="300"/>
      <c r="I81" s="300"/>
      <c r="J81" s="300"/>
    </row>
    <row r="82" spans="2:10">
      <c r="B82" s="300"/>
      <c r="C82" s="300"/>
      <c r="D82" s="300"/>
      <c r="E82" s="300"/>
      <c r="F82" s="300"/>
      <c r="G82" s="300"/>
      <c r="H82" s="300"/>
      <c r="I82" s="300"/>
      <c r="J82" s="300"/>
    </row>
    <row r="83" spans="2:10">
      <c r="B83" s="300"/>
      <c r="C83" s="300"/>
      <c r="D83" s="300"/>
      <c r="E83" s="300"/>
      <c r="F83" s="300"/>
      <c r="G83" s="300"/>
      <c r="H83" s="300"/>
      <c r="I83" s="300"/>
      <c r="J83" s="300"/>
    </row>
    <row r="84" spans="2:10">
      <c r="B84" s="300"/>
      <c r="C84" s="300"/>
      <c r="D84" s="300"/>
      <c r="E84" s="300"/>
      <c r="F84" s="300"/>
      <c r="G84" s="300"/>
      <c r="H84" s="300"/>
      <c r="I84" s="300"/>
      <c r="J84" s="300"/>
    </row>
    <row r="85" spans="2:10">
      <c r="B85" s="300"/>
      <c r="C85" s="300"/>
      <c r="D85" s="300"/>
      <c r="E85" s="300"/>
      <c r="F85" s="300"/>
      <c r="G85" s="300"/>
      <c r="H85" s="300"/>
      <c r="I85" s="300"/>
      <c r="J85" s="300"/>
    </row>
    <row r="86" spans="2:10">
      <c r="B86" s="300"/>
      <c r="C86" s="300"/>
      <c r="D86" s="300"/>
      <c r="E86" s="300"/>
      <c r="F86" s="300"/>
      <c r="G86" s="300"/>
      <c r="H86" s="300"/>
      <c r="I86" s="300"/>
      <c r="J86" s="300"/>
    </row>
  </sheetData>
  <mergeCells count="2">
    <mergeCell ref="B23:B24"/>
    <mergeCell ref="B43:B4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E8938-7CB4-1C4A-B67B-01A873BE67B5}">
  <dimension ref="A1:L14"/>
  <sheetViews>
    <sheetView topLeftCell="A12" zoomScale="125" workbookViewId="0">
      <selection activeCell="K27" sqref="K27"/>
    </sheetView>
  </sheetViews>
  <sheetFormatPr baseColWidth="10" defaultColWidth="11" defaultRowHeight="16"/>
  <cols>
    <col min="1" max="1" width="19.1640625" bestFit="1" customWidth="1"/>
    <col min="2" max="2" width="13.1640625" bestFit="1" customWidth="1"/>
    <col min="3" max="3" width="12" customWidth="1"/>
  </cols>
  <sheetData>
    <row r="1" spans="1:12">
      <c r="B1" s="39" t="s">
        <v>50</v>
      </c>
      <c r="C1" s="40" t="s">
        <v>51</v>
      </c>
      <c r="D1" s="40" t="s">
        <v>52</v>
      </c>
      <c r="E1" s="40" t="s">
        <v>53</v>
      </c>
      <c r="F1" s="40" t="s">
        <v>54</v>
      </c>
      <c r="G1" s="41" t="s">
        <v>159</v>
      </c>
      <c r="H1" s="41" t="s">
        <v>160</v>
      </c>
      <c r="I1" s="41" t="s">
        <v>161</v>
      </c>
      <c r="J1" s="41" t="s">
        <v>162</v>
      </c>
      <c r="K1" s="41" t="s">
        <v>163</v>
      </c>
      <c r="L1" s="42" t="s">
        <v>206</v>
      </c>
    </row>
    <row r="2" spans="1:12">
      <c r="A2" s="10" t="s">
        <v>209</v>
      </c>
    </row>
    <row r="3" spans="1:12">
      <c r="A3" t="s">
        <v>210</v>
      </c>
      <c r="F3" s="70">
        <v>6900</v>
      </c>
    </row>
    <row r="8" spans="1:12">
      <c r="A8" s="10" t="s">
        <v>192</v>
      </c>
    </row>
    <row r="9" spans="1:12">
      <c r="F9" s="70">
        <v>1979.9</v>
      </c>
    </row>
    <row r="13" spans="1:12">
      <c r="A13" s="10" t="s">
        <v>211</v>
      </c>
    </row>
    <row r="14" spans="1:12">
      <c r="F14" s="70">
        <v>486.1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1CF98-7618-E048-A21E-907EAAE2D1BF}">
  <dimension ref="A1:G40"/>
  <sheetViews>
    <sheetView showGridLines="0" topLeftCell="A10" zoomScale="162" workbookViewId="0">
      <selection activeCell="F25" sqref="F25"/>
    </sheetView>
  </sheetViews>
  <sheetFormatPr baseColWidth="10" defaultColWidth="11" defaultRowHeight="16"/>
  <cols>
    <col min="1" max="1" width="21.5" bestFit="1" customWidth="1"/>
    <col min="2" max="4" width="15.1640625" bestFit="1" customWidth="1"/>
  </cols>
  <sheetData>
    <row r="1" spans="1:7">
      <c r="B1" s="81"/>
    </row>
    <row r="2" spans="1:7">
      <c r="A2" s="5"/>
      <c r="B2" s="76" t="s">
        <v>38</v>
      </c>
      <c r="C2" s="76" t="s">
        <v>212</v>
      </c>
      <c r="D2" s="76" t="s">
        <v>40</v>
      </c>
    </row>
    <row r="3" spans="1:7">
      <c r="A3" s="5" t="s">
        <v>43</v>
      </c>
      <c r="B3" s="6">
        <f>(B4*(1-B9)*B17)+(B5*B16)</f>
        <v>8.0485630598429656E-2</v>
      </c>
      <c r="C3" s="6">
        <f>(C4*(1-C9)*C17)+(C5*C16)</f>
        <v>7.8804136760527999E-2</v>
      </c>
      <c r="D3" s="6">
        <f t="shared" ref="D3" si="0">(D4*(1-D9)*D17)+(D5*D16)</f>
        <v>7.7853671628641555E-2</v>
      </c>
    </row>
    <row r="4" spans="1:7">
      <c r="A4" s="5" t="s">
        <v>147</v>
      </c>
      <c r="B4" s="77">
        <f>$C$13/$C$15</f>
        <v>0.1849055696114997</v>
      </c>
      <c r="C4" s="77">
        <f>$C$13/$C$15</f>
        <v>0.1849055696114997</v>
      </c>
      <c r="D4" s="77">
        <f>$C$13/$C$15</f>
        <v>0.1849055696114997</v>
      </c>
    </row>
    <row r="5" spans="1:7">
      <c r="A5" s="5" t="s">
        <v>148</v>
      </c>
      <c r="B5" s="77">
        <f>$C$10/$C$15</f>
        <v>0.81509443038850027</v>
      </c>
      <c r="C5" s="77">
        <f>$C$10/$C$15</f>
        <v>0.81509443038850027</v>
      </c>
      <c r="D5" s="77">
        <f>$C$10/$C$15</f>
        <v>0.81509443038850027</v>
      </c>
    </row>
    <row r="6" spans="1:7">
      <c r="A6" s="5" t="s">
        <v>149</v>
      </c>
      <c r="B6" s="74">
        <v>4.3400000000000001E-2</v>
      </c>
      <c r="C6" s="74">
        <v>3.5000000000000003E-2</v>
      </c>
      <c r="D6" s="78">
        <v>0.03</v>
      </c>
      <c r="F6" s="75">
        <f>B6-C6</f>
        <v>8.3999999999999977E-3</v>
      </c>
      <c r="G6" s="75">
        <f>F6/B6</f>
        <v>0.19354838709677413</v>
      </c>
    </row>
    <row r="7" spans="1:7">
      <c r="A7" s="5" t="s">
        <v>135</v>
      </c>
      <c r="B7" s="5">
        <v>0.94</v>
      </c>
      <c r="C7" s="5">
        <v>0.94</v>
      </c>
      <c r="D7" s="5">
        <v>0.94</v>
      </c>
      <c r="F7" s="75">
        <f>C16-C6</f>
        <v>5.5271999999999988E-2</v>
      </c>
    </row>
    <row r="8" spans="1:7">
      <c r="A8" s="5" t="s">
        <v>150</v>
      </c>
      <c r="B8" s="74">
        <v>9.3799999999999994E-2</v>
      </c>
      <c r="C8" s="74">
        <v>9.3799999999999994E-2</v>
      </c>
      <c r="D8" s="74">
        <v>9.3799999999999994E-2</v>
      </c>
    </row>
    <row r="9" spans="1:7">
      <c r="A9" s="5" t="s">
        <v>152</v>
      </c>
      <c r="B9" s="78">
        <f>[1]FCFF!$F$31</f>
        <v>0.23643532831040931</v>
      </c>
      <c r="C9" s="78">
        <f>[1]FCFF!$F$31</f>
        <v>0.23643532831040931</v>
      </c>
      <c r="D9" s="78">
        <f>[1]FCFF!$F$31</f>
        <v>0.23643532831040931</v>
      </c>
    </row>
    <row r="10" spans="1:7">
      <c r="A10" s="5" t="s">
        <v>153</v>
      </c>
      <c r="B10" s="79">
        <v>108440000</v>
      </c>
      <c r="C10" s="79">
        <v>108440000</v>
      </c>
      <c r="D10" s="79">
        <v>108440000</v>
      </c>
    </row>
    <row r="11" spans="1:7">
      <c r="A11" s="5" t="s">
        <v>84</v>
      </c>
      <c r="B11" s="80">
        <f>[1]FCFF!$F$44</f>
        <v>3127400</v>
      </c>
      <c r="C11" s="80">
        <f>[1]FCFF!$F$44</f>
        <v>3127400</v>
      </c>
      <c r="D11" s="80">
        <f>[1]FCFF!$F$44</f>
        <v>3127400</v>
      </c>
    </row>
    <row r="12" spans="1:7">
      <c r="A12" s="5" t="s">
        <v>154</v>
      </c>
      <c r="B12" s="79">
        <f>[1]FCFF!$F$46</f>
        <v>21472400</v>
      </c>
      <c r="C12" s="79">
        <f>[1]FCFF!$F$46</f>
        <v>21472400</v>
      </c>
      <c r="D12" s="79">
        <f>[1]FCFF!$F$46</f>
        <v>21472400</v>
      </c>
    </row>
    <row r="13" spans="1:7">
      <c r="A13" s="5" t="s">
        <v>88</v>
      </c>
      <c r="B13" s="79">
        <f>SUM(B11:B12)</f>
        <v>24599800</v>
      </c>
      <c r="C13" s="79">
        <f t="shared" ref="C13:D13" si="1">SUM(C11:C12)</f>
        <v>24599800</v>
      </c>
      <c r="D13" s="79">
        <f t="shared" si="1"/>
        <v>24599800</v>
      </c>
    </row>
    <row r="14" spans="1:7">
      <c r="A14" s="5" t="s">
        <v>155</v>
      </c>
      <c r="B14" s="5">
        <v>0</v>
      </c>
      <c r="C14" s="5">
        <v>0</v>
      </c>
      <c r="D14" s="5">
        <v>0</v>
      </c>
    </row>
    <row r="15" spans="1:7">
      <c r="A15" s="5" t="s">
        <v>156</v>
      </c>
      <c r="B15" s="79">
        <f>B10+B13</f>
        <v>133039800</v>
      </c>
      <c r="C15" s="79">
        <f t="shared" ref="C15:D15" si="2">C10+C13</f>
        <v>133039800</v>
      </c>
      <c r="D15" s="79">
        <f t="shared" si="2"/>
        <v>133039800</v>
      </c>
    </row>
    <row r="16" spans="1:7">
      <c r="A16" s="5" t="s">
        <v>157</v>
      </c>
      <c r="B16" s="6">
        <f>B6+(B7*(B8-B6))</f>
        <v>9.0775999999999996E-2</v>
      </c>
      <c r="C16" s="6">
        <f>C6+(C7*(C8-C6))</f>
        <v>9.0271999999999991E-2</v>
      </c>
      <c r="D16" s="6">
        <f t="shared" ref="D16" si="3">D6+(D7*(D8-D6))</f>
        <v>8.9971999999999996E-2</v>
      </c>
    </row>
    <row r="17" spans="1:4">
      <c r="A17" s="5" t="s">
        <v>213</v>
      </c>
      <c r="B17" s="6">
        <v>4.5999999999999999E-2</v>
      </c>
      <c r="C17" s="6">
        <v>3.6999999999999998E-2</v>
      </c>
      <c r="D17" s="6">
        <v>3.2000000000000001E-2</v>
      </c>
    </row>
    <row r="21" spans="1:4">
      <c r="A21" s="120"/>
      <c r="B21" s="121" t="s">
        <v>38</v>
      </c>
      <c r="C21" s="121" t="s">
        <v>212</v>
      </c>
      <c r="D21" s="122" t="s">
        <v>40</v>
      </c>
    </row>
    <row r="22" spans="1:4">
      <c r="A22" s="123" t="s">
        <v>43</v>
      </c>
      <c r="B22" s="273">
        <v>8.0485630598429656E-2</v>
      </c>
      <c r="C22" s="273">
        <v>7.8804136760527999E-2</v>
      </c>
      <c r="D22" s="274">
        <v>7.7853671628641555E-2</v>
      </c>
    </row>
    <row r="23" spans="1:4">
      <c r="A23" s="123" t="s">
        <v>147</v>
      </c>
      <c r="B23" s="115">
        <v>0.1849055696114997</v>
      </c>
      <c r="C23" s="115">
        <v>0.1849055696114997</v>
      </c>
      <c r="D23" s="124">
        <v>0.1849055696114997</v>
      </c>
    </row>
    <row r="24" spans="1:4">
      <c r="A24" s="123" t="s">
        <v>148</v>
      </c>
      <c r="B24" s="115">
        <v>0.81509443038850027</v>
      </c>
      <c r="C24" s="115">
        <v>0.81509443038850027</v>
      </c>
      <c r="D24" s="124">
        <v>0.81509443038850027</v>
      </c>
    </row>
    <row r="25" spans="1:4">
      <c r="A25" s="123" t="s">
        <v>149</v>
      </c>
      <c r="B25" s="115">
        <v>4.3400000000000001E-2</v>
      </c>
      <c r="C25" s="115">
        <v>3.5000000000000003E-2</v>
      </c>
      <c r="D25" s="124">
        <v>0.03</v>
      </c>
    </row>
    <row r="26" spans="1:4">
      <c r="A26" s="123" t="s">
        <v>135</v>
      </c>
      <c r="B26" s="115">
        <v>0.94</v>
      </c>
      <c r="C26" s="115">
        <v>0.94</v>
      </c>
      <c r="D26" s="124">
        <v>0.94</v>
      </c>
    </row>
    <row r="27" spans="1:4">
      <c r="A27" s="123" t="s">
        <v>150</v>
      </c>
      <c r="B27" s="115">
        <v>9.3799999999999994E-2</v>
      </c>
      <c r="C27" s="115">
        <v>9.3799999999999994E-2</v>
      </c>
      <c r="D27" s="124">
        <v>9.3799999999999994E-2</v>
      </c>
    </row>
    <row r="28" spans="1:4">
      <c r="A28" s="123" t="s">
        <v>152</v>
      </c>
      <c r="B28" s="115">
        <v>0.23643532831040931</v>
      </c>
      <c r="C28" s="115">
        <v>0.23643532831040931</v>
      </c>
      <c r="D28" s="124">
        <v>0.23643532831040931</v>
      </c>
    </row>
    <row r="29" spans="1:4">
      <c r="A29" s="123" t="s">
        <v>153</v>
      </c>
      <c r="B29" s="125">
        <v>108440000</v>
      </c>
      <c r="C29" s="126">
        <v>108440000</v>
      </c>
      <c r="D29" s="127">
        <v>108440000</v>
      </c>
    </row>
    <row r="30" spans="1:4">
      <c r="A30" s="123" t="s">
        <v>84</v>
      </c>
      <c r="B30" s="125">
        <v>3127400</v>
      </c>
      <c r="C30" s="126">
        <v>3127400</v>
      </c>
      <c r="D30" s="127">
        <v>3127400</v>
      </c>
    </row>
    <row r="31" spans="1:4">
      <c r="A31" s="123" t="s">
        <v>154</v>
      </c>
      <c r="B31" s="125">
        <v>21472400</v>
      </c>
      <c r="C31" s="126">
        <v>21472400</v>
      </c>
      <c r="D31" s="127">
        <v>21472400</v>
      </c>
    </row>
    <row r="32" spans="1:4">
      <c r="A32" s="123" t="s">
        <v>88</v>
      </c>
      <c r="B32" s="125">
        <v>24599800</v>
      </c>
      <c r="C32" s="126">
        <v>24599800</v>
      </c>
      <c r="D32" s="127">
        <v>24599800</v>
      </c>
    </row>
    <row r="33" spans="1:7">
      <c r="A33" s="123" t="s">
        <v>155</v>
      </c>
      <c r="B33" s="116">
        <v>0</v>
      </c>
      <c r="C33" s="116">
        <v>0</v>
      </c>
      <c r="D33" s="128">
        <v>0</v>
      </c>
    </row>
    <row r="34" spans="1:7">
      <c r="A34" s="123" t="s">
        <v>156</v>
      </c>
      <c r="B34" s="132">
        <v>133039800</v>
      </c>
      <c r="C34" s="132">
        <v>133039800</v>
      </c>
      <c r="D34" s="133">
        <v>133039800</v>
      </c>
    </row>
    <row r="35" spans="1:7">
      <c r="A35" s="123" t="s">
        <v>157</v>
      </c>
      <c r="B35" s="115">
        <v>9.0775999999999996E-2</v>
      </c>
      <c r="C35" s="115">
        <v>9.0271999999999991E-2</v>
      </c>
      <c r="D35" s="124">
        <v>8.9971999999999996E-2</v>
      </c>
      <c r="F35" s="1"/>
      <c r="G35" s="2"/>
    </row>
    <row r="36" spans="1:7">
      <c r="A36" s="129" t="s">
        <v>158</v>
      </c>
      <c r="B36" s="130">
        <v>4.5999999999999999E-2</v>
      </c>
      <c r="C36" s="130">
        <v>3.6999999999999998E-2</v>
      </c>
      <c r="D36" s="131">
        <v>3.2000000000000001E-2</v>
      </c>
      <c r="F36" s="1"/>
      <c r="G36" s="4"/>
    </row>
    <row r="37" spans="1:7">
      <c r="B37" s="117"/>
      <c r="C37" s="117"/>
      <c r="D37" s="117"/>
      <c r="F37" s="1"/>
      <c r="G37" s="3"/>
    </row>
    <row r="38" spans="1:7">
      <c r="F38" s="1"/>
      <c r="G38" s="2"/>
    </row>
    <row r="39" spans="1:7">
      <c r="F39" s="5"/>
      <c r="G39" s="6"/>
    </row>
    <row r="40" spans="1:7">
      <c r="F40" s="5"/>
      <c r="G40" s="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1BE84-CF9D-8B4F-AC0B-FC7087CD18F7}">
  <dimension ref="A1:U85"/>
  <sheetViews>
    <sheetView showGridLines="0" workbookViewId="0">
      <selection activeCell="B10" sqref="B10"/>
    </sheetView>
  </sheetViews>
  <sheetFormatPr baseColWidth="10" defaultColWidth="10.83203125" defaultRowHeight="15"/>
  <cols>
    <col min="1" max="1" width="26.6640625" style="14" customWidth="1"/>
    <col min="2" max="2" width="35.1640625" style="14" bestFit="1" customWidth="1"/>
    <col min="3" max="4" width="19.6640625" style="14" bestFit="1" customWidth="1"/>
    <col min="5" max="6" width="19.1640625" style="14" bestFit="1" customWidth="1"/>
    <col min="7" max="7" width="21.83203125" style="14" bestFit="1" customWidth="1"/>
    <col min="8" max="11" width="19.6640625" style="14" bestFit="1" customWidth="1"/>
    <col min="12" max="12" width="10.83203125" style="15"/>
    <col min="13" max="13" width="22" style="15" customWidth="1"/>
    <col min="14" max="14" width="5.1640625" style="15" customWidth="1"/>
    <col min="15" max="15" width="6.6640625" style="15" bestFit="1" customWidth="1"/>
    <col min="16" max="16" width="14" style="15" bestFit="1" customWidth="1"/>
    <col min="17" max="16384" width="10.83203125" style="15"/>
  </cols>
  <sheetData>
    <row r="1" spans="1:21">
      <c r="A1" s="13" t="s">
        <v>28</v>
      </c>
    </row>
    <row r="2" spans="1:21" ht="18">
      <c r="A2" s="37" t="s">
        <v>29</v>
      </c>
    </row>
    <row r="3" spans="1:21">
      <c r="A3" s="16"/>
      <c r="B3" s="16"/>
      <c r="C3" s="16"/>
      <c r="D3" s="16"/>
      <c r="E3" s="16"/>
      <c r="F3" s="16"/>
      <c r="G3" s="16"/>
      <c r="H3" s="16"/>
      <c r="I3" s="16"/>
      <c r="J3" s="16"/>
      <c r="K3" s="16"/>
    </row>
    <row r="4" spans="1:21">
      <c r="A4" s="15" t="s">
        <v>30</v>
      </c>
      <c r="B4" s="17" t="e" vm="1">
        <v>#VALUE!</v>
      </c>
      <c r="D4" s="15" t="s">
        <v>31</v>
      </c>
      <c r="E4" s="18">
        <f>B85</f>
        <v>97.003004031325887</v>
      </c>
      <c r="F4" s="15"/>
      <c r="I4" s="16"/>
      <c r="J4" s="16"/>
      <c r="K4" s="16"/>
    </row>
    <row r="5" spans="1:21">
      <c r="A5" s="15" t="s">
        <v>32</v>
      </c>
      <c r="B5" s="19"/>
      <c r="D5" s="15" t="s">
        <v>33</v>
      </c>
      <c r="E5" s="18" cm="1">
        <f t="array" ref="E5">_FV(B4,"Price")</f>
        <v>73.599999999999994</v>
      </c>
      <c r="F5" s="15"/>
    </row>
    <row r="6" spans="1:21">
      <c r="A6" s="15" t="s">
        <v>34</v>
      </c>
      <c r="B6" s="19"/>
      <c r="D6" s="15" t="s">
        <v>35</v>
      </c>
      <c r="E6" s="20">
        <f>E4/E5-1</f>
        <v>0.31797559825171051</v>
      </c>
      <c r="F6" s="15"/>
      <c r="I6" s="16"/>
      <c r="J6" s="16"/>
      <c r="K6" s="16"/>
    </row>
    <row r="7" spans="1:21">
      <c r="A7" s="16"/>
      <c r="B7" s="16"/>
      <c r="C7" s="16"/>
      <c r="D7" s="16"/>
      <c r="E7" s="16"/>
      <c r="F7" s="16"/>
      <c r="G7" s="16"/>
      <c r="H7" s="16"/>
      <c r="I7" s="16"/>
      <c r="J7" s="16"/>
      <c r="K7" s="16"/>
    </row>
    <row r="8" spans="1:21">
      <c r="A8" s="22" t="s">
        <v>36</v>
      </c>
      <c r="B8" s="23"/>
      <c r="C8" s="23"/>
      <c r="D8" s="23"/>
      <c r="E8" s="23"/>
      <c r="F8" s="23"/>
      <c r="G8" s="23"/>
      <c r="H8" s="23"/>
      <c r="I8" s="23"/>
      <c r="J8" s="23"/>
      <c r="K8" s="23"/>
    </row>
    <row r="9" spans="1:21" ht="16">
      <c r="A9" s="9" t="s">
        <v>37</v>
      </c>
      <c r="B9" s="9"/>
      <c r="C9"/>
      <c r="D9" s="9" t="s">
        <v>38</v>
      </c>
      <c r="E9"/>
      <c r="F9" s="15"/>
      <c r="G9" s="9" t="s">
        <v>39</v>
      </c>
      <c r="H9"/>
      <c r="I9"/>
      <c r="J9" s="9" t="s">
        <v>40</v>
      </c>
      <c r="K9"/>
    </row>
    <row r="10" spans="1:21" ht="16">
      <c r="A10" t="s">
        <v>41</v>
      </c>
      <c r="B10" s="12">
        <v>2</v>
      </c>
      <c r="C10"/>
      <c r="D10" t="s">
        <v>42</v>
      </c>
      <c r="E10" s="43">
        <v>7.0000000000000007E-2</v>
      </c>
      <c r="F10" s="15"/>
      <c r="G10" t="s">
        <v>42</v>
      </c>
      <c r="H10" s="43">
        <v>0.09</v>
      </c>
      <c r="I10"/>
      <c r="J10" t="s">
        <v>42</v>
      </c>
      <c r="K10" s="43">
        <v>0.11</v>
      </c>
    </row>
    <row r="11" spans="1:21" ht="16">
      <c r="A11" t="s">
        <v>43</v>
      </c>
      <c r="B11" s="12">
        <v>2</v>
      </c>
      <c r="C11"/>
      <c r="D11" t="s">
        <v>44</v>
      </c>
      <c r="E11" s="43">
        <v>7.0000000000000007E-2</v>
      </c>
      <c r="F11" s="15"/>
      <c r="G11" t="s">
        <v>44</v>
      </c>
      <c r="H11" s="43">
        <v>0.1</v>
      </c>
      <c r="I11"/>
      <c r="J11" t="s">
        <v>44</v>
      </c>
      <c r="K11" s="43">
        <v>0.12</v>
      </c>
      <c r="N11" s="93"/>
      <c r="O11" s="93"/>
      <c r="P11" s="331" t="s">
        <v>214</v>
      </c>
      <c r="Q11" s="332"/>
      <c r="R11" s="332"/>
      <c r="S11" s="332"/>
      <c r="T11" s="333"/>
    </row>
    <row r="12" spans="1:21" ht="16">
      <c r="A12" t="s">
        <v>45</v>
      </c>
      <c r="B12" s="12">
        <v>2</v>
      </c>
      <c r="C12"/>
      <c r="D12" t="s">
        <v>46</v>
      </c>
      <c r="E12" s="43">
        <v>6.5000000000000002E-2</v>
      </c>
      <c r="F12" s="15"/>
      <c r="G12" t="s">
        <v>46</v>
      </c>
      <c r="H12" s="43">
        <v>0.11</v>
      </c>
      <c r="I12"/>
      <c r="J12" t="s">
        <v>46</v>
      </c>
      <c r="K12" s="43">
        <v>0.13</v>
      </c>
      <c r="N12" s="93"/>
      <c r="O12" s="94">
        <f>B85</f>
        <v>97.003004031325887</v>
      </c>
      <c r="P12" s="106">
        <v>0.02</v>
      </c>
      <c r="Q12" s="95">
        <v>2.2499999999999999E-2</v>
      </c>
      <c r="R12" s="95">
        <v>2.5000000000000001E-2</v>
      </c>
      <c r="S12" s="95">
        <v>2.75E-2</v>
      </c>
      <c r="T12" s="107">
        <v>0.03</v>
      </c>
    </row>
    <row r="13" spans="1:21" ht="16">
      <c r="C13"/>
      <c r="D13" t="s">
        <v>47</v>
      </c>
      <c r="E13" s="43">
        <v>0.06</v>
      </c>
      <c r="F13" s="15"/>
      <c r="G13" t="s">
        <v>47</v>
      </c>
      <c r="H13" s="43">
        <v>0.1</v>
      </c>
      <c r="I13"/>
      <c r="J13" t="s">
        <v>47</v>
      </c>
      <c r="K13" s="43">
        <v>0.12</v>
      </c>
      <c r="N13" s="334" t="s">
        <v>43</v>
      </c>
      <c r="O13" s="92">
        <v>7.0000000000000007E-2</v>
      </c>
      <c r="P13" s="96">
        <f t="dataTable" ref="P13:T17" dt2D="1" dtr="1" r1="B19" r2="B18"/>
        <v>107.50686044450151</v>
      </c>
      <c r="Q13" s="97">
        <v>112.8706885666591</v>
      </c>
      <c r="R13" s="97">
        <v>118.83049759127861</v>
      </c>
      <c r="S13" s="97">
        <v>125.49146061879458</v>
      </c>
      <c r="T13" s="98">
        <v>132.98504402475001</v>
      </c>
      <c r="U13" s="28">
        <f>(P17-P13)/P13</f>
        <v>-0.3161119103920888</v>
      </c>
    </row>
    <row r="14" spans="1:21" ht="16">
      <c r="A14" t="s">
        <v>42</v>
      </c>
      <c r="B14" s="72" cm="1">
        <f t="array" ref="B14">_xlfn.SWITCH(B10,1,E10,2,H10,3,K10)</f>
        <v>0.09</v>
      </c>
      <c r="C14"/>
      <c r="D14"/>
      <c r="E14"/>
      <c r="F14" s="15"/>
      <c r="G14"/>
      <c r="H14"/>
      <c r="I14"/>
      <c r="J14" s="15"/>
      <c r="K14" s="15"/>
      <c r="N14" s="334"/>
      <c r="O14" s="92">
        <v>7.4999999999999997E-2</v>
      </c>
      <c r="P14" s="99">
        <v>96.61729403538979</v>
      </c>
      <c r="Q14" s="100">
        <v>100.94759147009216</v>
      </c>
      <c r="R14" s="100">
        <v>105.71091864826485</v>
      </c>
      <c r="S14" s="100">
        <v>110.97564868729781</v>
      </c>
      <c r="T14" s="101">
        <v>116.82534873066773</v>
      </c>
      <c r="U14" s="88">
        <f>(O17-O13)/O13</f>
        <v>0.28571428571428553</v>
      </c>
    </row>
    <row r="15" spans="1:21" ht="16">
      <c r="A15" t="s">
        <v>44</v>
      </c>
      <c r="B15" s="72" cm="1">
        <f t="array" ref="B15">_xlfn.SWITCH(B10,1,E11,2,H11,3,K11)</f>
        <v>0.1</v>
      </c>
      <c r="C15"/>
      <c r="D15" t="s">
        <v>43</v>
      </c>
      <c r="E15" s="82">
        <f>WACC!B3</f>
        <v>8.0485630598429656E-2</v>
      </c>
      <c r="F15" s="15"/>
      <c r="G15" t="s">
        <v>43</v>
      </c>
      <c r="H15" s="82">
        <f>WACC!C3</f>
        <v>7.8804136760527999E-2</v>
      </c>
      <c r="I15"/>
      <c r="J15" t="s">
        <v>43</v>
      </c>
      <c r="K15" s="82">
        <f>WACC!D3</f>
        <v>7.7853671628641555E-2</v>
      </c>
      <c r="N15" s="334"/>
      <c r="O15" s="92">
        <v>7.8799999999999995E-2</v>
      </c>
      <c r="P15" s="99">
        <v>89.612492143112831</v>
      </c>
      <c r="Q15" s="100">
        <v>93.336615907923189</v>
      </c>
      <c r="R15" s="102">
        <v>97.406847829314458</v>
      </c>
      <c r="S15" s="100">
        <v>101.87378851497388</v>
      </c>
      <c r="T15" s="101">
        <v>106.79840754957384</v>
      </c>
      <c r="U15" s="90">
        <f>(T12-S12)/S12</f>
        <v>9.090909090909087E-2</v>
      </c>
    </row>
    <row r="16" spans="1:21" ht="16">
      <c r="A16" t="s">
        <v>46</v>
      </c>
      <c r="B16" s="72" cm="1">
        <f t="array" ref="B16">_xlfn.SWITCH(B10,1,E12,2,H12,3,K12)</f>
        <v>0.11</v>
      </c>
      <c r="C16"/>
      <c r="D16" t="s">
        <v>48</v>
      </c>
      <c r="E16" s="43">
        <v>0.02</v>
      </c>
      <c r="F16" s="15"/>
      <c r="G16" t="s">
        <v>48</v>
      </c>
      <c r="H16" s="43">
        <v>2.5000000000000001E-2</v>
      </c>
      <c r="I16"/>
      <c r="J16" t="s">
        <v>48</v>
      </c>
      <c r="K16" s="44">
        <v>0.03</v>
      </c>
      <c r="N16" s="334"/>
      <c r="O16" s="92">
        <v>0.08</v>
      </c>
      <c r="P16" s="99">
        <v>87.590402685374457</v>
      </c>
      <c r="Q16" s="100">
        <v>91.148021888058622</v>
      </c>
      <c r="R16" s="100">
        <v>95.029061018259554</v>
      </c>
      <c r="S16" s="100">
        <v>99.27972292276533</v>
      </c>
      <c r="T16" s="101">
        <v>103.9554510177217</v>
      </c>
      <c r="U16" s="15">
        <f>(T13-S13)/S13</f>
        <v>5.971389104091069E-2</v>
      </c>
    </row>
    <row r="17" spans="1:20" ht="16">
      <c r="A17" t="s">
        <v>47</v>
      </c>
      <c r="B17" s="72" cm="1">
        <f t="array" ref="B17">_xlfn.SWITCH(B10,1,E13,2,H13,3,K13)</f>
        <v>0.1</v>
      </c>
      <c r="C17" s="15"/>
      <c r="D17" s="15"/>
      <c r="E17" s="15"/>
      <c r="F17" s="15"/>
      <c r="G17" s="15"/>
      <c r="H17" s="15"/>
      <c r="I17" s="15"/>
      <c r="J17" s="15"/>
      <c r="K17" s="15"/>
      <c r="N17" s="335"/>
      <c r="O17" s="92">
        <v>0.09</v>
      </c>
      <c r="P17" s="103">
        <v>73.522661409134457</v>
      </c>
      <c r="Q17" s="104">
        <v>76.026266194671578</v>
      </c>
      <c r="R17" s="104">
        <v>78.722455963711539</v>
      </c>
      <c r="S17" s="104">
        <v>81.634340914274745</v>
      </c>
      <c r="T17" s="105">
        <v>84.788882944051508</v>
      </c>
    </row>
    <row r="18" spans="1:20" ht="16">
      <c r="A18" t="s">
        <v>43</v>
      </c>
      <c r="B18" s="72">
        <v>7.9000000000000001E-2</v>
      </c>
      <c r="C18" s="16"/>
      <c r="D18" s="16"/>
      <c r="E18" s="16"/>
      <c r="F18" s="16"/>
      <c r="G18" s="21"/>
      <c r="H18" s="21"/>
      <c r="I18" s="21"/>
      <c r="J18" s="21"/>
      <c r="K18" s="21"/>
    </row>
    <row r="19" spans="1:20" ht="16">
      <c r="A19" t="s">
        <v>48</v>
      </c>
      <c r="B19" s="72">
        <v>2.5000000000000001E-2</v>
      </c>
      <c r="C19" s="16"/>
      <c r="D19" s="16"/>
      <c r="E19" s="16"/>
      <c r="F19" s="16"/>
      <c r="G19" s="21"/>
      <c r="H19" s="21"/>
      <c r="I19" s="21"/>
      <c r="J19" s="21"/>
      <c r="K19" s="21"/>
    </row>
    <row r="20" spans="1:20">
      <c r="A20" s="15"/>
      <c r="B20" s="15"/>
      <c r="C20" s="16"/>
      <c r="D20" s="16"/>
      <c r="E20" s="16"/>
      <c r="F20" s="16"/>
      <c r="G20" s="38">
        <v>1</v>
      </c>
      <c r="H20" s="38">
        <v>2</v>
      </c>
      <c r="I20" s="38">
        <v>3</v>
      </c>
      <c r="J20" s="38">
        <v>4</v>
      </c>
      <c r="K20" s="38">
        <v>5</v>
      </c>
    </row>
    <row r="21" spans="1:20">
      <c r="A21" s="46" t="s">
        <v>49</v>
      </c>
      <c r="B21" s="39" t="s">
        <v>50</v>
      </c>
      <c r="C21" s="40" t="s">
        <v>51</v>
      </c>
      <c r="D21" s="40" t="s">
        <v>52</v>
      </c>
      <c r="E21" s="40" t="s">
        <v>53</v>
      </c>
      <c r="F21" s="40" t="s">
        <v>54</v>
      </c>
      <c r="G21" s="41" t="s">
        <v>159</v>
      </c>
      <c r="H21" s="41" t="s">
        <v>160</v>
      </c>
      <c r="I21" s="41" t="s">
        <v>161</v>
      </c>
      <c r="J21" s="41" t="s">
        <v>162</v>
      </c>
      <c r="K21" s="41" t="s">
        <v>163</v>
      </c>
    </row>
    <row r="22" spans="1:20">
      <c r="A22" s="24" t="s">
        <v>60</v>
      </c>
      <c r="B22" s="25">
        <v>7.0000000000000007E-2</v>
      </c>
      <c r="C22" s="25">
        <f>C62/B62-1</f>
        <v>-0.11281621813298326</v>
      </c>
      <c r="D22" s="25">
        <f t="shared" ref="D22:F22" si="0">D62/C62-1</f>
        <v>0.23567480227910531</v>
      </c>
      <c r="E22" s="25">
        <f t="shared" si="0"/>
        <v>0.10976029400631782</v>
      </c>
      <c r="F22" s="25">
        <f t="shared" si="0"/>
        <v>0.11551210376337595</v>
      </c>
      <c r="G22" s="26">
        <f>B14</f>
        <v>0.09</v>
      </c>
      <c r="H22" s="26">
        <f>B15</f>
        <v>0.1</v>
      </c>
      <c r="I22" s="26">
        <f>B16</f>
        <v>0.11</v>
      </c>
      <c r="J22" s="26">
        <f>B16</f>
        <v>0.11</v>
      </c>
      <c r="K22" s="26">
        <f>B17</f>
        <v>0.1</v>
      </c>
    </row>
    <row r="23" spans="1:20">
      <c r="A23" s="24" t="s">
        <v>61</v>
      </c>
      <c r="B23" s="25">
        <f>B63/B62</f>
        <v>0.71752186083007019</v>
      </c>
      <c r="C23" s="25">
        <f t="shared" ref="C23:F23" si="1">C63/C62</f>
        <v>0.78488391870056973</v>
      </c>
      <c r="D23" s="25">
        <f t="shared" si="1"/>
        <v>0.71065291150217136</v>
      </c>
      <c r="E23" s="25">
        <f t="shared" si="1"/>
        <v>0.74043342232475362</v>
      </c>
      <c r="F23" s="25">
        <f t="shared" si="1"/>
        <v>0.72630894272784885</v>
      </c>
      <c r="G23" s="26">
        <v>0.7</v>
      </c>
      <c r="H23" s="26">
        <v>0.7</v>
      </c>
      <c r="I23" s="26">
        <v>0.7</v>
      </c>
      <c r="J23" s="26">
        <v>0.7</v>
      </c>
      <c r="K23" s="26">
        <v>0.7</v>
      </c>
      <c r="O23" s="91"/>
    </row>
    <row r="24" spans="1:20">
      <c r="A24" s="24" t="s">
        <v>62</v>
      </c>
      <c r="B24" s="25">
        <f>B66/B62</f>
        <v>0.1213040296356654</v>
      </c>
      <c r="C24" s="25">
        <f t="shared" ref="C24:F24" si="2">C66/C62</f>
        <v>0.13812399013521559</v>
      </c>
      <c r="D24" s="25">
        <f t="shared" si="2"/>
        <v>0.12305320605906278</v>
      </c>
      <c r="E24" s="25">
        <f t="shared" si="2"/>
        <v>0.11628418960443779</v>
      </c>
      <c r="F24" s="25">
        <f t="shared" si="2"/>
        <v>0.12072627002746306</v>
      </c>
      <c r="G24" s="27">
        <v>0.13</v>
      </c>
      <c r="H24" s="27">
        <v>0.14000000000000001</v>
      </c>
      <c r="I24" s="27">
        <v>0.13</v>
      </c>
      <c r="J24" s="27">
        <v>0.14000000000000001</v>
      </c>
      <c r="K24" s="27">
        <v>0.14000000000000001</v>
      </c>
    </row>
    <row r="25" spans="1:20">
      <c r="A25" s="24" t="s">
        <v>63</v>
      </c>
      <c r="B25" s="25">
        <f>B74/B38</f>
        <v>9.6493501944162258E-2</v>
      </c>
      <c r="C25" s="25">
        <f>C74/C38</f>
        <v>6.4214379929473209E-2</v>
      </c>
      <c r="D25" s="25">
        <f>D74/D38</f>
        <v>6.2506503416461454E-2</v>
      </c>
      <c r="E25" s="25">
        <f>E74/E38</f>
        <v>6.128573484470104E-2</v>
      </c>
      <c r="F25" s="25">
        <f>F74/F38</f>
        <v>5.2972460229835011E-2</v>
      </c>
      <c r="G25" s="26">
        <v>0.05</v>
      </c>
      <c r="H25" s="26">
        <v>0.06</v>
      </c>
      <c r="I25" s="26">
        <v>0.06</v>
      </c>
      <c r="J25" s="26">
        <v>0.06</v>
      </c>
      <c r="K25" s="26">
        <v>0.06</v>
      </c>
    </row>
    <row r="26" spans="1:20">
      <c r="A26" s="24" t="s">
        <v>64</v>
      </c>
      <c r="B26" s="25">
        <f>B36/B63</f>
        <v>8.0407980862753345E-2</v>
      </c>
      <c r="C26" s="25">
        <f>C36/C63</f>
        <v>8.4046178266310556E-2</v>
      </c>
      <c r="D26" s="25">
        <f>D36/D63</f>
        <v>7.7663180321518491E-2</v>
      </c>
      <c r="E26" s="25">
        <f>E36/E63</f>
        <v>9.1150457301752155E-2</v>
      </c>
      <c r="F26" s="25">
        <f>F36/F63</f>
        <v>6.9132854179583147E-2</v>
      </c>
      <c r="G26" s="26">
        <v>7.0000000000000007E-2</v>
      </c>
      <c r="H26" s="26">
        <v>7.0000000000000007E-2</v>
      </c>
      <c r="I26" s="26">
        <v>7.0000000000000007E-2</v>
      </c>
      <c r="J26" s="26">
        <v>7.0000000000000007E-2</v>
      </c>
      <c r="K26" s="26">
        <v>7.0000000000000007E-2</v>
      </c>
    </row>
    <row r="27" spans="1:20">
      <c r="A27" s="24" t="s">
        <v>65</v>
      </c>
      <c r="B27" s="25">
        <f>B35/B62</f>
        <v>3.3166594991813979E-2</v>
      </c>
      <c r="C27" s="25">
        <f>C35/C62</f>
        <v>3.7562717918190325E-2</v>
      </c>
      <c r="D27" s="25">
        <f>D35/D62</f>
        <v>3.2346200697852073E-2</v>
      </c>
      <c r="E27" s="25">
        <f>E35/E62</f>
        <v>3.6449273340092958E-2</v>
      </c>
      <c r="F27" s="25">
        <f>F35/F62</f>
        <v>3.2913975027518652E-2</v>
      </c>
      <c r="G27" s="26">
        <v>0.03</v>
      </c>
      <c r="H27" s="26">
        <v>0.03</v>
      </c>
      <c r="I27" s="26">
        <v>0.03</v>
      </c>
      <c r="J27" s="26">
        <v>0.03</v>
      </c>
      <c r="K27" s="26">
        <v>0.03</v>
      </c>
    </row>
    <row r="28" spans="1:20">
      <c r="A28" s="24" t="s">
        <v>66</v>
      </c>
      <c r="B28" s="25">
        <f>B43/B63</f>
        <v>0.25730133277253492</v>
      </c>
      <c r="C28" s="25">
        <f>C43/C63</f>
        <v>0.15957072198234998</v>
      </c>
      <c r="D28" s="25">
        <f>D43/D63</f>
        <v>0.20804280457098587</v>
      </c>
      <c r="E28" s="25">
        <f>E43/E63</f>
        <v>0.18670642232570606</v>
      </c>
      <c r="F28" s="25">
        <f>F43/F63</f>
        <v>0.17275942042297182</v>
      </c>
      <c r="G28" s="26">
        <v>0.2</v>
      </c>
      <c r="H28" s="26">
        <v>0.2</v>
      </c>
      <c r="I28" s="26">
        <v>0.2</v>
      </c>
      <c r="J28" s="26">
        <v>0.2</v>
      </c>
      <c r="K28" s="26">
        <v>0.2</v>
      </c>
    </row>
    <row r="29" spans="1:20">
      <c r="A29" s="24" t="s">
        <v>67</v>
      </c>
      <c r="B29" s="25">
        <f>B34/B62</f>
        <v>0.10400775597353312</v>
      </c>
      <c r="C29" s="25">
        <f>C34/C62</f>
        <v>0.19695977549111318</v>
      </c>
      <c r="D29" s="25">
        <f>D34/D62</f>
        <v>0.22772757616842049</v>
      </c>
      <c r="E29" s="25">
        <f>E34/E62</f>
        <v>9.8693655562893987E-2</v>
      </c>
      <c r="F29" s="25">
        <f>F34/F62</f>
        <v>0.10988002979797418</v>
      </c>
      <c r="G29" s="26">
        <v>0.1</v>
      </c>
      <c r="H29" s="26">
        <v>0.13</v>
      </c>
      <c r="I29" s="26">
        <v>0.14000000000000001</v>
      </c>
      <c r="J29" s="26">
        <v>0.15</v>
      </c>
      <c r="K29" s="26">
        <v>0.17</v>
      </c>
    </row>
    <row r="30" spans="1:20">
      <c r="A30" s="24" t="s">
        <v>68</v>
      </c>
      <c r="B30" s="25"/>
      <c r="C30" s="25">
        <f>C38/B38-1</f>
        <v>0.56159316215364141</v>
      </c>
      <c r="D30" s="25">
        <f t="shared" ref="D30:F30" si="3">D38/C38-1</f>
        <v>3.4787836370651526E-2</v>
      </c>
      <c r="E30" s="25">
        <f t="shared" si="3"/>
        <v>2.4305435121917407E-2</v>
      </c>
      <c r="F30" s="25">
        <f t="shared" si="3"/>
        <v>8.8777332870554559E-2</v>
      </c>
      <c r="G30" s="26">
        <v>0.04</v>
      </c>
      <c r="H30" s="26">
        <v>0.04</v>
      </c>
      <c r="I30" s="26">
        <v>0.04</v>
      </c>
      <c r="J30" s="26">
        <v>0.04</v>
      </c>
      <c r="K30" s="26">
        <v>0.04</v>
      </c>
    </row>
    <row r="31" spans="1:20">
      <c r="A31" s="24" t="s">
        <v>69</v>
      </c>
      <c r="B31" s="25">
        <v>0.19515471765706865</v>
      </c>
      <c r="C31" s="25">
        <v>0.20585709378220543</v>
      </c>
      <c r="D31" s="25">
        <v>0.21590845451660476</v>
      </c>
      <c r="E31" s="25">
        <v>0.22413100498594013</v>
      </c>
      <c r="F31" s="25">
        <v>0.23643532831040931</v>
      </c>
      <c r="G31" s="26">
        <v>0.2</v>
      </c>
      <c r="H31" s="26">
        <v>0.2</v>
      </c>
      <c r="I31" s="26">
        <v>0.2</v>
      </c>
      <c r="J31" s="26">
        <v>0.2</v>
      </c>
      <c r="K31" s="26">
        <v>0.2</v>
      </c>
    </row>
    <row r="32" spans="1:20">
      <c r="B32" s="28"/>
      <c r="C32" s="28"/>
      <c r="D32" s="28"/>
      <c r="E32" s="28"/>
      <c r="F32" s="28"/>
      <c r="G32" s="28"/>
      <c r="H32" s="28"/>
      <c r="I32" s="28"/>
      <c r="J32" s="28"/>
      <c r="K32" s="28"/>
    </row>
    <row r="33" spans="1:11">
      <c r="A33" s="13" t="s">
        <v>73</v>
      </c>
    </row>
    <row r="34" spans="1:11">
      <c r="A34" s="24" t="s">
        <v>74</v>
      </c>
      <c r="B34" s="24">
        <v>2757100</v>
      </c>
      <c r="C34" s="24">
        <v>4632100</v>
      </c>
      <c r="D34" s="24">
        <v>6617900</v>
      </c>
      <c r="E34" s="24">
        <v>3182900</v>
      </c>
      <c r="F34" s="24">
        <v>3953000</v>
      </c>
      <c r="G34" s="47">
        <f t="shared" ref="G34:K34" si="4">G29*G62</f>
        <v>3921340.4000000004</v>
      </c>
      <c r="H34" s="29">
        <f t="shared" si="4"/>
        <v>5607516.7719999999</v>
      </c>
      <c r="I34" s="29">
        <f t="shared" si="4"/>
        <v>6703139.2797600003</v>
      </c>
      <c r="J34" s="29">
        <f t="shared" si="4"/>
        <v>7971947.7862859983</v>
      </c>
      <c r="K34" s="29">
        <f t="shared" si="4"/>
        <v>9938361.5735698789</v>
      </c>
    </row>
    <row r="35" spans="1:11">
      <c r="A35" s="24" t="s">
        <v>75</v>
      </c>
      <c r="B35" s="24">
        <v>879200</v>
      </c>
      <c r="C35" s="24">
        <v>883400</v>
      </c>
      <c r="D35" s="24">
        <v>940000</v>
      </c>
      <c r="E35" s="24">
        <v>1175500</v>
      </c>
      <c r="F35" s="24">
        <v>1184100</v>
      </c>
      <c r="G35" s="47">
        <f t="shared" ref="G35:K35" si="5">G27*G62</f>
        <v>1176402.1199999999</v>
      </c>
      <c r="H35" s="29">
        <f t="shared" si="5"/>
        <v>1294042.3319999999</v>
      </c>
      <c r="I35" s="29">
        <f t="shared" si="5"/>
        <v>1436386.9885199997</v>
      </c>
      <c r="J35" s="29">
        <f t="shared" si="5"/>
        <v>1594389.5572571997</v>
      </c>
      <c r="K35" s="29">
        <f t="shared" si="5"/>
        <v>1753828.5129829198</v>
      </c>
    </row>
    <row r="36" spans="1:11">
      <c r="A36" s="24" t="s">
        <v>76</v>
      </c>
      <c r="B36" s="24">
        <v>1529400</v>
      </c>
      <c r="C36" s="24">
        <v>1551400</v>
      </c>
      <c r="D36" s="24">
        <v>1603900</v>
      </c>
      <c r="E36" s="24">
        <v>2176600</v>
      </c>
      <c r="F36" s="24">
        <v>1806400</v>
      </c>
      <c r="G36" s="47">
        <f t="shared" ref="G36:K36" si="6">G26*G63</f>
        <v>1921456.7960000001</v>
      </c>
      <c r="H36" s="29">
        <f t="shared" si="6"/>
        <v>2113602.4756</v>
      </c>
      <c r="I36" s="29">
        <f t="shared" si="6"/>
        <v>2346098.747916</v>
      </c>
      <c r="J36" s="29">
        <f t="shared" si="6"/>
        <v>2604169.6101867598</v>
      </c>
      <c r="K36" s="29">
        <f t="shared" si="6"/>
        <v>2864586.5712054358</v>
      </c>
    </row>
    <row r="37" spans="1:11">
      <c r="A37" s="24" t="s">
        <v>77</v>
      </c>
      <c r="B37" s="24">
        <v>488200</v>
      </c>
      <c r="C37" s="24">
        <v>739500</v>
      </c>
      <c r="D37" s="24">
        <v>594600</v>
      </c>
      <c r="E37" s="24">
        <v>483700</v>
      </c>
      <c r="F37" s="24">
        <v>359900</v>
      </c>
      <c r="G37" s="47" t="e">
        <f>#REF!*G62</f>
        <v>#REF!</v>
      </c>
      <c r="H37" s="29" t="e">
        <f>#REF!*H62</f>
        <v>#REF!</v>
      </c>
      <c r="I37" s="29" t="e">
        <f>#REF!*I62</f>
        <v>#REF!</v>
      </c>
      <c r="J37" s="29" t="e">
        <f>#REF!*J62</f>
        <v>#REF!</v>
      </c>
      <c r="K37" s="29" t="e">
        <f>#REF!*K62</f>
        <v>#REF!</v>
      </c>
    </row>
    <row r="38" spans="1:11">
      <c r="A38" s="24" t="s">
        <v>78</v>
      </c>
      <c r="B38" s="24">
        <v>14273500</v>
      </c>
      <c r="C38" s="24">
        <v>22289400</v>
      </c>
      <c r="D38" s="24">
        <v>23064800</v>
      </c>
      <c r="E38" s="24">
        <v>23625400</v>
      </c>
      <c r="F38" s="24">
        <v>25722800</v>
      </c>
      <c r="G38" s="47">
        <f t="shared" ref="G38:K38" si="7">F38*(1+G30)</f>
        <v>26751712</v>
      </c>
      <c r="H38" s="29">
        <f t="shared" si="7"/>
        <v>27821780.48</v>
      </c>
      <c r="I38" s="29">
        <f t="shared" si="7"/>
        <v>28934651.699200001</v>
      </c>
      <c r="J38" s="29">
        <f t="shared" si="7"/>
        <v>30092037.767168</v>
      </c>
      <c r="K38" s="29">
        <f t="shared" si="7"/>
        <v>31295719.277854722</v>
      </c>
    </row>
    <row r="39" spans="1:11">
      <c r="A39" s="24" t="s">
        <v>79</v>
      </c>
      <c r="B39" s="24">
        <v>7841800</v>
      </c>
      <c r="C39" s="24">
        <v>7913900</v>
      </c>
      <c r="D39" s="24">
        <v>8459300</v>
      </c>
      <c r="E39" s="24">
        <v>9049300</v>
      </c>
      <c r="F39" s="24">
        <v>9923100</v>
      </c>
      <c r="G39" s="47">
        <f t="shared" ref="G39:K39" si="8">F39+G25*F40</f>
        <v>10713085</v>
      </c>
      <c r="H39" s="29">
        <f t="shared" si="8"/>
        <v>11675402.619999999</v>
      </c>
      <c r="I39" s="29">
        <f t="shared" si="8"/>
        <v>12644185.2916</v>
      </c>
      <c r="J39" s="29">
        <f t="shared" si="8"/>
        <v>13621613.276056001</v>
      </c>
      <c r="K39" s="29">
        <f t="shared" si="8"/>
        <v>14609838.745522721</v>
      </c>
    </row>
    <row r="40" spans="1:11">
      <c r="A40" s="24" t="s">
        <v>80</v>
      </c>
      <c r="B40" s="24">
        <f>B38-B39</f>
        <v>6431700</v>
      </c>
      <c r="C40" s="24">
        <f t="shared" ref="C40:K40" si="9">C38-C39</f>
        <v>14375500</v>
      </c>
      <c r="D40" s="24">
        <f t="shared" si="9"/>
        <v>14605500</v>
      </c>
      <c r="E40" s="24">
        <f t="shared" si="9"/>
        <v>14576100</v>
      </c>
      <c r="F40" s="24">
        <f t="shared" si="9"/>
        <v>15799700</v>
      </c>
      <c r="G40" s="31">
        <f t="shared" si="9"/>
        <v>16038627</v>
      </c>
      <c r="H40" s="31">
        <f t="shared" si="9"/>
        <v>16146377.860000001</v>
      </c>
      <c r="I40" s="31">
        <f t="shared" si="9"/>
        <v>16290466.407600001</v>
      </c>
      <c r="J40" s="31">
        <f t="shared" si="9"/>
        <v>16470424.491111999</v>
      </c>
      <c r="K40" s="31">
        <f t="shared" si="9"/>
        <v>16685880.532332001</v>
      </c>
    </row>
    <row r="41" spans="1:11">
      <c r="A41" s="24" t="s">
        <v>81</v>
      </c>
      <c r="B41" s="24">
        <v>220000</v>
      </c>
      <c r="C41" s="24">
        <v>206100</v>
      </c>
      <c r="D41" s="24">
        <v>281700</v>
      </c>
      <c r="E41" s="24">
        <v>279100</v>
      </c>
      <c r="F41" s="24">
        <v>247400</v>
      </c>
      <c r="G41" s="47"/>
      <c r="H41" s="29"/>
      <c r="I41" s="29"/>
      <c r="J41" s="29"/>
      <c r="K41" s="29"/>
    </row>
    <row r="42" spans="1:11">
      <c r="A42" s="24" t="s">
        <v>82</v>
      </c>
      <c r="B42" s="24">
        <v>6914000</v>
      </c>
      <c r="C42" s="24">
        <v>6986500</v>
      </c>
      <c r="D42" s="24">
        <v>6749000</v>
      </c>
      <c r="E42" s="24">
        <v>6104500</v>
      </c>
      <c r="F42" s="24">
        <v>6095000</v>
      </c>
      <c r="G42" s="47"/>
      <c r="H42" s="29"/>
      <c r="I42" s="29"/>
      <c r="J42" s="29"/>
      <c r="K42" s="29"/>
    </row>
    <row r="43" spans="1:11">
      <c r="A43" s="24" t="s">
        <v>83</v>
      </c>
      <c r="B43" s="24">
        <v>4894000</v>
      </c>
      <c r="C43" s="24">
        <v>2945500</v>
      </c>
      <c r="D43" s="24">
        <v>4296500</v>
      </c>
      <c r="E43" s="24">
        <v>4458400</v>
      </c>
      <c r="F43" s="24">
        <v>4514100</v>
      </c>
      <c r="G43" s="47">
        <f t="shared" ref="G43:K43" si="10">G28*G63</f>
        <v>5489876.5599999996</v>
      </c>
      <c r="H43" s="29">
        <f t="shared" si="10"/>
        <v>6038864.216</v>
      </c>
      <c r="I43" s="29">
        <f t="shared" si="10"/>
        <v>6703139.2797599994</v>
      </c>
      <c r="J43" s="29">
        <f t="shared" si="10"/>
        <v>7440484.600533599</v>
      </c>
      <c r="K43" s="29">
        <f t="shared" si="10"/>
        <v>8184533.0605869591</v>
      </c>
    </row>
    <row r="44" spans="1:11">
      <c r="A44" s="24" t="s">
        <v>84</v>
      </c>
      <c r="B44" s="24">
        <v>0</v>
      </c>
      <c r="C44" s="24">
        <v>2937500</v>
      </c>
      <c r="D44" s="24">
        <v>2250200</v>
      </c>
      <c r="E44" s="24">
        <v>3169700</v>
      </c>
      <c r="F44" s="24">
        <v>3127400</v>
      </c>
      <c r="G44" s="47"/>
      <c r="H44" s="29"/>
      <c r="I44" s="29"/>
      <c r="J44" s="29"/>
      <c r="K44" s="29"/>
    </row>
    <row r="45" spans="1:11">
      <c r="A45" s="24" t="s">
        <v>85</v>
      </c>
      <c r="B45" s="24">
        <v>1274700</v>
      </c>
      <c r="C45" s="24">
        <v>1463800</v>
      </c>
      <c r="D45" s="24">
        <v>1604700</v>
      </c>
      <c r="E45" s="24">
        <v>1523700</v>
      </c>
      <c r="F45" s="24">
        <v>1703800</v>
      </c>
      <c r="G45" s="47">
        <f>F45*1.1</f>
        <v>1874180.0000000002</v>
      </c>
      <c r="H45" s="29">
        <f t="shared" ref="H45:K45" si="11">G45*1.1</f>
        <v>2061598.0000000005</v>
      </c>
      <c r="I45" s="29">
        <f t="shared" si="11"/>
        <v>2267757.8000000007</v>
      </c>
      <c r="J45" s="29">
        <f t="shared" si="11"/>
        <v>2494533.580000001</v>
      </c>
      <c r="K45" s="29">
        <f t="shared" si="11"/>
        <v>2743986.9380000015</v>
      </c>
    </row>
    <row r="46" spans="1:11">
      <c r="A46" s="24" t="s">
        <v>86</v>
      </c>
      <c r="B46" s="24">
        <v>11167000</v>
      </c>
      <c r="C46" s="24">
        <v>22321300</v>
      </c>
      <c r="D46" s="24">
        <v>21354900</v>
      </c>
      <c r="E46" s="24">
        <v>20635100</v>
      </c>
      <c r="F46" s="24">
        <v>21472400</v>
      </c>
      <c r="G46" s="47"/>
      <c r="H46" s="29"/>
      <c r="I46" s="29"/>
      <c r="J46" s="29"/>
      <c r="K46" s="29"/>
    </row>
    <row r="47" spans="1:11">
      <c r="A47" s="24" t="s">
        <v>87</v>
      </c>
      <c r="B47" s="24">
        <v>8114900</v>
      </c>
      <c r="C47" s="24">
        <v>7505800</v>
      </c>
      <c r="D47" s="24">
        <v>7200800</v>
      </c>
      <c r="E47" s="24">
        <v>6890200</v>
      </c>
      <c r="F47" s="24">
        <v>6615600</v>
      </c>
      <c r="G47" s="47"/>
      <c r="H47" s="29"/>
      <c r="I47" s="29"/>
      <c r="J47" s="29"/>
      <c r="K47" s="29"/>
    </row>
    <row r="48" spans="1:11">
      <c r="A48" s="24" t="s">
        <v>88</v>
      </c>
      <c r="B48" s="24">
        <f>B44+B46</f>
        <v>11167000</v>
      </c>
      <c r="C48" s="24">
        <f>C44+C46</f>
        <v>25258800</v>
      </c>
      <c r="D48" s="24">
        <f>D44+D46</f>
        <v>23605100</v>
      </c>
      <c r="E48" s="24">
        <f>E44+E46</f>
        <v>23804800</v>
      </c>
      <c r="F48" s="24">
        <f>F44+F46</f>
        <v>24599800</v>
      </c>
      <c r="G48" s="47">
        <f t="shared" ref="G48:K48" si="12">G44+G46</f>
        <v>0</v>
      </c>
      <c r="H48" s="29">
        <f t="shared" si="12"/>
        <v>0</v>
      </c>
      <c r="I48" s="29">
        <f t="shared" si="12"/>
        <v>0</v>
      </c>
      <c r="J48" s="29">
        <f t="shared" si="12"/>
        <v>0</v>
      </c>
      <c r="K48" s="29">
        <f t="shared" si="12"/>
        <v>0</v>
      </c>
    </row>
    <row r="49" spans="1:11">
      <c r="A49" s="24" t="s">
        <v>89</v>
      </c>
      <c r="B49" s="24">
        <f t="shared" ref="B49:K49" si="13">B35+B36</f>
        <v>2408600</v>
      </c>
      <c r="C49" s="24">
        <f t="shared" si="13"/>
        <v>2434800</v>
      </c>
      <c r="D49" s="24">
        <f t="shared" si="13"/>
        <v>2543900</v>
      </c>
      <c r="E49" s="24">
        <f t="shared" si="13"/>
        <v>3352100</v>
      </c>
      <c r="F49" s="24">
        <f t="shared" si="13"/>
        <v>2990500</v>
      </c>
      <c r="G49" s="30">
        <f t="shared" si="13"/>
        <v>3097858.9160000002</v>
      </c>
      <c r="H49" s="24">
        <f t="shared" si="13"/>
        <v>3407644.8075999999</v>
      </c>
      <c r="I49" s="24">
        <f t="shared" si="13"/>
        <v>3782485.7364359996</v>
      </c>
      <c r="J49" s="24">
        <f t="shared" si="13"/>
        <v>4198559.167443959</v>
      </c>
      <c r="K49" s="24">
        <f t="shared" si="13"/>
        <v>4618415.0841883551</v>
      </c>
    </row>
    <row r="50" spans="1:11">
      <c r="A50" s="24" t="s">
        <v>90</v>
      </c>
      <c r="B50" s="24">
        <f t="shared" ref="B50:K50" si="14">B43</f>
        <v>4894000</v>
      </c>
      <c r="C50" s="24">
        <f t="shared" si="14"/>
        <v>2945500</v>
      </c>
      <c r="D50" s="24">
        <f t="shared" si="14"/>
        <v>4296500</v>
      </c>
      <c r="E50" s="24">
        <f t="shared" si="14"/>
        <v>4458400</v>
      </c>
      <c r="F50" s="24">
        <f t="shared" si="14"/>
        <v>4514100</v>
      </c>
      <c r="G50" s="30">
        <f t="shared" si="14"/>
        <v>5489876.5599999996</v>
      </c>
      <c r="H50" s="24">
        <f t="shared" si="14"/>
        <v>6038864.216</v>
      </c>
      <c r="I50" s="24">
        <f t="shared" si="14"/>
        <v>6703139.2797599994</v>
      </c>
      <c r="J50" s="24">
        <f t="shared" si="14"/>
        <v>7440484.600533599</v>
      </c>
      <c r="K50" s="24">
        <f t="shared" si="14"/>
        <v>8184533.0605869591</v>
      </c>
    </row>
    <row r="51" spans="1:11">
      <c r="A51" s="24" t="s">
        <v>91</v>
      </c>
      <c r="B51" s="24">
        <f>B49-B50</f>
        <v>-2485400</v>
      </c>
      <c r="C51" s="24">
        <f t="shared" ref="C51:K51" si="15">C49-C50</f>
        <v>-510700</v>
      </c>
      <c r="D51" s="24">
        <f t="shared" si="15"/>
        <v>-1752600</v>
      </c>
      <c r="E51" s="24">
        <f t="shared" si="15"/>
        <v>-1106300</v>
      </c>
      <c r="F51" s="24">
        <f t="shared" si="15"/>
        <v>-1523600</v>
      </c>
      <c r="G51" s="47">
        <f t="shared" si="15"/>
        <v>-2392017.6439999994</v>
      </c>
      <c r="H51" s="29">
        <f t="shared" si="15"/>
        <v>-2631219.4084000001</v>
      </c>
      <c r="I51" s="29">
        <f t="shared" si="15"/>
        <v>-2920653.5433239997</v>
      </c>
      <c r="J51" s="29">
        <f t="shared" si="15"/>
        <v>-3241925.43308964</v>
      </c>
      <c r="K51" s="29">
        <f t="shared" si="15"/>
        <v>-3566117.976398604</v>
      </c>
    </row>
    <row r="52" spans="1:11">
      <c r="A52" s="24" t="s">
        <v>92</v>
      </c>
      <c r="B52" s="24"/>
      <c r="C52" s="24">
        <f>C51-B51</f>
        <v>1974700</v>
      </c>
      <c r="D52" s="24">
        <f t="shared" ref="D52:K52" si="16">D51-C51</f>
        <v>-1241900</v>
      </c>
      <c r="E52" s="24">
        <f t="shared" si="16"/>
        <v>646300</v>
      </c>
      <c r="F52" s="24">
        <f t="shared" si="16"/>
        <v>-417300</v>
      </c>
      <c r="G52" s="47">
        <f t="shared" si="16"/>
        <v>-868417.64399999939</v>
      </c>
      <c r="H52" s="29">
        <f t="shared" si="16"/>
        <v>-239201.76440000068</v>
      </c>
      <c r="I52" s="29">
        <f t="shared" si="16"/>
        <v>-289434.13492399966</v>
      </c>
      <c r="J52" s="29">
        <f t="shared" si="16"/>
        <v>-321271.88976564026</v>
      </c>
      <c r="K52" s="29">
        <f t="shared" si="16"/>
        <v>-324192.543308964</v>
      </c>
    </row>
    <row r="53" spans="1:11">
      <c r="A53" s="24" t="s">
        <v>93</v>
      </c>
      <c r="B53" s="24"/>
      <c r="C53" s="24">
        <f>C40-B40+C74</f>
        <v>9375100</v>
      </c>
      <c r="D53" s="24">
        <f t="shared" ref="D53:K53" si="17">D40-C40+D74</f>
        <v>1671700</v>
      </c>
      <c r="E53" s="24">
        <f t="shared" si="17"/>
        <v>1418500</v>
      </c>
      <c r="F53" s="24">
        <f t="shared" si="17"/>
        <v>2586200</v>
      </c>
      <c r="G53" s="30">
        <f t="shared" si="17"/>
        <v>1576512.6</v>
      </c>
      <c r="H53" s="24">
        <f t="shared" si="17"/>
        <v>1777057.6888000013</v>
      </c>
      <c r="I53" s="24">
        <f t="shared" si="17"/>
        <v>1880167.6495519993</v>
      </c>
      <c r="J53" s="24">
        <f t="shared" si="17"/>
        <v>1985480.3495420788</v>
      </c>
      <c r="K53" s="24">
        <f t="shared" si="17"/>
        <v>2093199.1978912852</v>
      </c>
    </row>
    <row r="54" spans="1:11">
      <c r="A54" s="24" t="s">
        <v>94</v>
      </c>
      <c r="B54" s="24">
        <f t="shared" ref="B54:K54" si="18">B34+B35+B36+B37</f>
        <v>5653900</v>
      </c>
      <c r="C54" s="24">
        <f t="shared" si="18"/>
        <v>7806400</v>
      </c>
      <c r="D54" s="24">
        <f t="shared" si="18"/>
        <v>9756400</v>
      </c>
      <c r="E54" s="24">
        <f t="shared" si="18"/>
        <v>7018700</v>
      </c>
      <c r="F54" s="24">
        <f t="shared" si="18"/>
        <v>7303400</v>
      </c>
      <c r="G54" s="47" t="e">
        <f t="shared" si="18"/>
        <v>#REF!</v>
      </c>
      <c r="H54" s="29" t="e">
        <f t="shared" si="18"/>
        <v>#REF!</v>
      </c>
      <c r="I54" s="29" t="e">
        <f t="shared" si="18"/>
        <v>#REF!</v>
      </c>
      <c r="J54" s="29" t="e">
        <f t="shared" si="18"/>
        <v>#REF!</v>
      </c>
      <c r="K54" s="29" t="e">
        <f t="shared" si="18"/>
        <v>#REF!</v>
      </c>
    </row>
    <row r="55" spans="1:11">
      <c r="A55" s="24" t="s">
        <v>95</v>
      </c>
      <c r="B55" s="24">
        <f t="shared" ref="B55:K55" si="19">SUM(B43:B45)</f>
        <v>6168700</v>
      </c>
      <c r="C55" s="24">
        <f t="shared" si="19"/>
        <v>7346800</v>
      </c>
      <c r="D55" s="24">
        <f t="shared" si="19"/>
        <v>8151400</v>
      </c>
      <c r="E55" s="24">
        <f t="shared" si="19"/>
        <v>9151800</v>
      </c>
      <c r="F55" s="24">
        <f t="shared" si="19"/>
        <v>9345300</v>
      </c>
      <c r="G55" s="31">
        <f t="shared" si="19"/>
        <v>7364056.5599999996</v>
      </c>
      <c r="H55" s="31">
        <f t="shared" si="19"/>
        <v>8100462.216</v>
      </c>
      <c r="I55" s="31">
        <f t="shared" si="19"/>
        <v>8970897.0797600001</v>
      </c>
      <c r="J55" s="31">
        <f t="shared" si="19"/>
        <v>9935018.1805335991</v>
      </c>
      <c r="K55" s="31">
        <f t="shared" si="19"/>
        <v>10928519.99858696</v>
      </c>
    </row>
    <row r="56" spans="1:11">
      <c r="A56" s="24" t="s">
        <v>96</v>
      </c>
      <c r="B56" s="24">
        <f t="shared" ref="B56:K56" si="20">SUM(B40:B42)</f>
        <v>13565700</v>
      </c>
      <c r="C56" s="24">
        <f t="shared" si="20"/>
        <v>21568100</v>
      </c>
      <c r="D56" s="24">
        <f t="shared" si="20"/>
        <v>21636200</v>
      </c>
      <c r="E56" s="24">
        <f t="shared" si="20"/>
        <v>20959700</v>
      </c>
      <c r="F56" s="24">
        <f t="shared" si="20"/>
        <v>22142100</v>
      </c>
      <c r="G56" s="47">
        <f t="shared" si="20"/>
        <v>16038627</v>
      </c>
      <c r="H56" s="29">
        <f t="shared" si="20"/>
        <v>16146377.860000001</v>
      </c>
      <c r="I56" s="29">
        <f t="shared" si="20"/>
        <v>16290466.407600001</v>
      </c>
      <c r="J56" s="29">
        <f t="shared" si="20"/>
        <v>16470424.491111999</v>
      </c>
      <c r="K56" s="29">
        <f t="shared" si="20"/>
        <v>16685880.532332001</v>
      </c>
    </row>
    <row r="57" spans="1:11">
      <c r="A57" s="24" t="s">
        <v>97</v>
      </c>
      <c r="B57" s="24">
        <f>SUM(B46:B47)</f>
        <v>19281900</v>
      </c>
      <c r="C57" s="24">
        <f>SUM(C46:C47)</f>
        <v>29827100</v>
      </c>
      <c r="D57" s="24">
        <f>SUM(D46:D47)</f>
        <v>28555700</v>
      </c>
      <c r="E57" s="24">
        <f>SUM(E46:E47)</f>
        <v>27525300</v>
      </c>
      <c r="F57" s="24">
        <f>SUM(F46:F47)</f>
        <v>28088000</v>
      </c>
      <c r="G57" s="47">
        <f t="shared" ref="G57:K57" si="21">SUM(G46:G47)</f>
        <v>0</v>
      </c>
      <c r="H57" s="29">
        <f t="shared" si="21"/>
        <v>0</v>
      </c>
      <c r="I57" s="29">
        <f t="shared" si="21"/>
        <v>0</v>
      </c>
      <c r="J57" s="29">
        <f t="shared" si="21"/>
        <v>0</v>
      </c>
      <c r="K57" s="29">
        <f t="shared" si="21"/>
        <v>0</v>
      </c>
    </row>
    <row r="58" spans="1:11">
      <c r="A58" s="24" t="s">
        <v>98</v>
      </c>
      <c r="B58" s="24">
        <f>B54+B56</f>
        <v>19219600</v>
      </c>
      <c r="C58" s="24">
        <f t="shared" ref="C58:K58" si="22">C54+C56</f>
        <v>29374500</v>
      </c>
      <c r="D58" s="24">
        <f t="shared" si="22"/>
        <v>31392600</v>
      </c>
      <c r="E58" s="24">
        <f t="shared" si="22"/>
        <v>27978400</v>
      </c>
      <c r="F58" s="24">
        <f t="shared" si="22"/>
        <v>29445500</v>
      </c>
      <c r="G58" s="47" t="e">
        <f t="shared" si="22"/>
        <v>#REF!</v>
      </c>
      <c r="H58" s="29" t="e">
        <f t="shared" si="22"/>
        <v>#REF!</v>
      </c>
      <c r="I58" s="29" t="e">
        <f t="shared" si="22"/>
        <v>#REF!</v>
      </c>
      <c r="J58" s="29" t="e">
        <f t="shared" si="22"/>
        <v>#REF!</v>
      </c>
      <c r="K58" s="29" t="e">
        <f t="shared" si="22"/>
        <v>#REF!</v>
      </c>
    </row>
    <row r="59" spans="1:11">
      <c r="A59" s="24" t="s">
        <v>99</v>
      </c>
      <c r="B59" s="24">
        <f>B58-B57-B55</f>
        <v>-6231000</v>
      </c>
      <c r="C59" s="24">
        <f t="shared" ref="C59:E59" si="23">C58-C57-C55</f>
        <v>-7799400</v>
      </c>
      <c r="D59" s="24">
        <f t="shared" si="23"/>
        <v>-5314500</v>
      </c>
      <c r="E59" s="24">
        <f t="shared" si="23"/>
        <v>-8698700</v>
      </c>
      <c r="F59" s="24">
        <f>F58-F57-F55</f>
        <v>-7987800</v>
      </c>
      <c r="G59" s="47" t="e">
        <f t="shared" ref="G59:K59" si="24">G58-G57-G55</f>
        <v>#REF!</v>
      </c>
      <c r="H59" s="29" t="e">
        <f t="shared" si="24"/>
        <v>#REF!</v>
      </c>
      <c r="I59" s="29" t="e">
        <f t="shared" si="24"/>
        <v>#REF!</v>
      </c>
      <c r="J59" s="29" t="e">
        <f t="shared" si="24"/>
        <v>#REF!</v>
      </c>
      <c r="K59" s="29" t="e">
        <f t="shared" si="24"/>
        <v>#REF!</v>
      </c>
    </row>
    <row r="61" spans="1:11">
      <c r="A61" s="13" t="s">
        <v>100</v>
      </c>
    </row>
    <row r="62" spans="1:11">
      <c r="A62" s="32" t="s">
        <v>41</v>
      </c>
      <c r="B62" s="24">
        <v>26508600</v>
      </c>
      <c r="C62" s="24">
        <v>23518000</v>
      </c>
      <c r="D62" s="24">
        <v>29060600</v>
      </c>
      <c r="E62" s="24">
        <v>32250300</v>
      </c>
      <c r="F62" s="24">
        <v>35975600</v>
      </c>
      <c r="G62" s="29">
        <f t="shared" ref="G62:K62" si="25">G22*F62+F62</f>
        <v>39213404</v>
      </c>
      <c r="H62" s="29">
        <f t="shared" si="25"/>
        <v>43134744.399999999</v>
      </c>
      <c r="I62" s="29">
        <f t="shared" si="25"/>
        <v>47879566.283999994</v>
      </c>
      <c r="J62" s="29">
        <f t="shared" si="25"/>
        <v>53146318.575239994</v>
      </c>
      <c r="K62" s="29">
        <f t="shared" si="25"/>
        <v>58460950.432763994</v>
      </c>
    </row>
    <row r="63" spans="1:11">
      <c r="A63" s="33" t="s">
        <v>101</v>
      </c>
      <c r="B63" s="24">
        <v>19020500</v>
      </c>
      <c r="C63" s="24">
        <v>18458900</v>
      </c>
      <c r="D63" s="24">
        <v>20652000</v>
      </c>
      <c r="E63" s="24">
        <v>23879200</v>
      </c>
      <c r="F63" s="24">
        <v>26129400</v>
      </c>
      <c r="G63" s="29">
        <f t="shared" ref="G63:K63" si="26">G62*G23</f>
        <v>27449382.799999997</v>
      </c>
      <c r="H63" s="29">
        <f t="shared" si="26"/>
        <v>30194321.079999998</v>
      </c>
      <c r="I63" s="29">
        <f t="shared" si="26"/>
        <v>33515696.398799993</v>
      </c>
      <c r="J63" s="29">
        <f t="shared" si="26"/>
        <v>37202423.002667993</v>
      </c>
      <c r="K63" s="29">
        <f t="shared" si="26"/>
        <v>40922665.302934796</v>
      </c>
    </row>
    <row r="64" spans="1:11">
      <c r="A64" s="33" t="s">
        <v>102</v>
      </c>
      <c r="B64" s="24">
        <f>B62-B63</f>
        <v>7488100</v>
      </c>
      <c r="C64" s="24">
        <f t="shared" ref="C64:K64" si="27">C62-C63</f>
        <v>5059100</v>
      </c>
      <c r="D64" s="24">
        <f t="shared" si="27"/>
        <v>8408600</v>
      </c>
      <c r="E64" s="24">
        <f t="shared" si="27"/>
        <v>8371100</v>
      </c>
      <c r="F64" s="24">
        <f t="shared" si="27"/>
        <v>9846200</v>
      </c>
      <c r="G64" s="29">
        <f t="shared" si="27"/>
        <v>11764021.200000003</v>
      </c>
      <c r="H64" s="29">
        <f t="shared" si="27"/>
        <v>12940423.32</v>
      </c>
      <c r="I64" s="29">
        <f t="shared" si="27"/>
        <v>14363869.885200001</v>
      </c>
      <c r="J64" s="29">
        <f t="shared" si="27"/>
        <v>15943895.572572</v>
      </c>
      <c r="K64" s="29">
        <f t="shared" si="27"/>
        <v>17538285.129829198</v>
      </c>
    </row>
    <row r="65" spans="1:11">
      <c r="A65" s="33" t="s">
        <v>103</v>
      </c>
      <c r="B65" s="24">
        <v>298000</v>
      </c>
      <c r="C65" s="24">
        <v>322500</v>
      </c>
      <c r="D65" s="24">
        <v>385300</v>
      </c>
      <c r="E65" s="24">
        <v>234100</v>
      </c>
      <c r="F65" s="24">
        <v>298400</v>
      </c>
      <c r="G65" s="29"/>
      <c r="H65" s="29"/>
      <c r="I65" s="29"/>
      <c r="J65" s="29"/>
      <c r="K65" s="29"/>
    </row>
    <row r="66" spans="1:11">
      <c r="A66" s="33" t="s">
        <v>104</v>
      </c>
      <c r="B66" s="24">
        <v>3215600</v>
      </c>
      <c r="C66" s="24">
        <v>3248400</v>
      </c>
      <c r="D66" s="24">
        <v>3576000</v>
      </c>
      <c r="E66" s="24">
        <v>3750200</v>
      </c>
      <c r="F66" s="24">
        <v>4343200</v>
      </c>
      <c r="G66" s="29">
        <f t="shared" ref="G66:K66" si="28">G24*G62</f>
        <v>5097742.5200000005</v>
      </c>
      <c r="H66" s="29">
        <f t="shared" si="28"/>
        <v>6038864.216</v>
      </c>
      <c r="I66" s="29">
        <f t="shared" si="28"/>
        <v>6224343.6169199999</v>
      </c>
      <c r="J66" s="29">
        <f t="shared" si="28"/>
        <v>7440484.6005336</v>
      </c>
      <c r="K66" s="29">
        <f t="shared" si="28"/>
        <v>8184533.0605869601</v>
      </c>
    </row>
    <row r="67" spans="1:11">
      <c r="A67" s="32" t="s">
        <v>105</v>
      </c>
      <c r="B67" s="24">
        <f>B64-B66+B65</f>
        <v>4570500</v>
      </c>
      <c r="C67" s="24">
        <f t="shared" ref="C67:E67" si="29">C64-C66+C65</f>
        <v>2133200</v>
      </c>
      <c r="D67" s="24">
        <f t="shared" si="29"/>
        <v>5217900</v>
      </c>
      <c r="E67" s="24">
        <f t="shared" si="29"/>
        <v>4855000</v>
      </c>
      <c r="F67" s="24">
        <f>F64-F66+F65</f>
        <v>5801400</v>
      </c>
      <c r="G67" s="29">
        <f>G64-G66+G65</f>
        <v>6666278.6800000025</v>
      </c>
      <c r="H67" s="29">
        <f t="shared" ref="H67:K67" si="30">H64-H66+H65</f>
        <v>6901559.1040000003</v>
      </c>
      <c r="I67" s="29">
        <f t="shared" si="30"/>
        <v>8139526.2682800014</v>
      </c>
      <c r="J67" s="29">
        <f t="shared" si="30"/>
        <v>8503410.9720383994</v>
      </c>
      <c r="K67" s="29">
        <f t="shared" si="30"/>
        <v>9353752.069242239</v>
      </c>
    </row>
    <row r="68" spans="1:11">
      <c r="A68" s="71"/>
      <c r="B68" s="16"/>
      <c r="C68" s="16"/>
      <c r="D68" s="16"/>
      <c r="E68" s="16"/>
      <c r="F68" s="16"/>
      <c r="G68" s="21"/>
      <c r="H68" s="21"/>
      <c r="I68" s="21"/>
      <c r="J68" s="21"/>
      <c r="K68" s="21"/>
    </row>
    <row r="70" spans="1:11">
      <c r="A70" s="13" t="s">
        <v>106</v>
      </c>
    </row>
    <row r="71" spans="1:11">
      <c r="A71" s="24" t="s">
        <v>107</v>
      </c>
      <c r="B71" s="48">
        <f>B67</f>
        <v>4570500</v>
      </c>
      <c r="C71" s="48">
        <f t="shared" ref="C71:K71" si="31">C67</f>
        <v>2133200</v>
      </c>
      <c r="D71" s="48">
        <f t="shared" si="31"/>
        <v>5217900</v>
      </c>
      <c r="E71" s="48">
        <f t="shared" si="31"/>
        <v>4855000</v>
      </c>
      <c r="F71" s="48">
        <f t="shared" si="31"/>
        <v>5801400</v>
      </c>
      <c r="G71" s="29">
        <f t="shared" si="31"/>
        <v>6666278.6800000025</v>
      </c>
      <c r="H71" s="29">
        <f t="shared" si="31"/>
        <v>6901559.1040000003</v>
      </c>
      <c r="I71" s="29">
        <f t="shared" si="31"/>
        <v>8139526.2682800014</v>
      </c>
      <c r="J71" s="29">
        <f t="shared" si="31"/>
        <v>8503410.9720383994</v>
      </c>
      <c r="K71" s="29">
        <f t="shared" si="31"/>
        <v>9353752.069242239</v>
      </c>
    </row>
    <row r="72" spans="1:11">
      <c r="A72" s="24" t="s">
        <v>108</v>
      </c>
      <c r="B72" s="48">
        <f>B71*0.15</f>
        <v>685575</v>
      </c>
      <c r="C72" s="48">
        <f t="shared" ref="C72:F72" si="32">C71*0.15</f>
        <v>319980</v>
      </c>
      <c r="D72" s="48">
        <f t="shared" si="32"/>
        <v>782685</v>
      </c>
      <c r="E72" s="48">
        <f t="shared" si="32"/>
        <v>728250</v>
      </c>
      <c r="F72" s="48">
        <f t="shared" si="32"/>
        <v>870210</v>
      </c>
      <c r="G72" s="29">
        <f t="shared" ref="G72:K72" si="33">G31*G71</f>
        <v>1333255.7360000005</v>
      </c>
      <c r="H72" s="29">
        <f t="shared" si="33"/>
        <v>1380311.8208000001</v>
      </c>
      <c r="I72" s="29">
        <f t="shared" si="33"/>
        <v>1627905.2536560004</v>
      </c>
      <c r="J72" s="29">
        <f t="shared" si="33"/>
        <v>1700682.1944076801</v>
      </c>
      <c r="K72" s="29">
        <f t="shared" si="33"/>
        <v>1870750.4138484478</v>
      </c>
    </row>
    <row r="73" spans="1:11">
      <c r="A73" s="24" t="s">
        <v>109</v>
      </c>
      <c r="B73" s="48">
        <f>B71-B72</f>
        <v>3884925</v>
      </c>
      <c r="C73" s="48">
        <f t="shared" ref="C73:F73" si="34">C71-C72</f>
        <v>1813220</v>
      </c>
      <c r="D73" s="48">
        <f t="shared" si="34"/>
        <v>4435215</v>
      </c>
      <c r="E73" s="48">
        <f t="shared" si="34"/>
        <v>4126750</v>
      </c>
      <c r="F73" s="48">
        <f t="shared" si="34"/>
        <v>4931190</v>
      </c>
      <c r="G73" s="29">
        <f>G71-G72</f>
        <v>5333022.944000002</v>
      </c>
      <c r="H73" s="29">
        <f t="shared" ref="H73:K73" si="35">H71-H72</f>
        <v>5521247.2832000004</v>
      </c>
      <c r="I73" s="29">
        <f t="shared" si="35"/>
        <v>6511621.0146240015</v>
      </c>
      <c r="J73" s="29">
        <f t="shared" si="35"/>
        <v>6802728.7776307194</v>
      </c>
      <c r="K73" s="29">
        <f t="shared" si="35"/>
        <v>7483001.6553937914</v>
      </c>
    </row>
    <row r="74" spans="1:11">
      <c r="A74" s="24" t="s">
        <v>110</v>
      </c>
      <c r="B74" s="48">
        <v>1377300</v>
      </c>
      <c r="C74" s="48">
        <v>1431300</v>
      </c>
      <c r="D74" s="48">
        <v>1441700</v>
      </c>
      <c r="E74" s="48">
        <v>1447900</v>
      </c>
      <c r="F74" s="48">
        <v>1362600</v>
      </c>
      <c r="G74" s="29">
        <f t="shared" ref="G74:K74" si="36">G25*G38</f>
        <v>1337585.6000000001</v>
      </c>
      <c r="H74" s="29">
        <f t="shared" si="36"/>
        <v>1669306.8288</v>
      </c>
      <c r="I74" s="29">
        <f t="shared" si="36"/>
        <v>1736079.1019520001</v>
      </c>
      <c r="J74" s="29">
        <f t="shared" si="36"/>
        <v>1805522.2660300799</v>
      </c>
      <c r="K74" s="29">
        <f t="shared" si="36"/>
        <v>1877743.1566712833</v>
      </c>
    </row>
    <row r="75" spans="1:11">
      <c r="A75" s="24" t="s">
        <v>111</v>
      </c>
      <c r="B75" s="48">
        <f t="shared" ref="B75:K76" si="37">B52</f>
        <v>0</v>
      </c>
      <c r="C75" s="48">
        <f t="shared" si="37"/>
        <v>1974700</v>
      </c>
      <c r="D75" s="48">
        <f t="shared" si="37"/>
        <v>-1241900</v>
      </c>
      <c r="E75" s="48">
        <f t="shared" si="37"/>
        <v>646300</v>
      </c>
      <c r="F75" s="48">
        <f t="shared" si="37"/>
        <v>-417300</v>
      </c>
      <c r="G75" s="29">
        <f t="shared" si="37"/>
        <v>-868417.64399999939</v>
      </c>
      <c r="H75" s="29">
        <f t="shared" si="37"/>
        <v>-239201.76440000068</v>
      </c>
      <c r="I75" s="29">
        <f t="shared" si="37"/>
        <v>-289434.13492399966</v>
      </c>
      <c r="J75" s="29">
        <f t="shared" si="37"/>
        <v>-321271.88976564026</v>
      </c>
      <c r="K75" s="29">
        <f t="shared" si="37"/>
        <v>-324192.543308964</v>
      </c>
    </row>
    <row r="76" spans="1:11">
      <c r="A76" s="24" t="s">
        <v>112</v>
      </c>
      <c r="B76" s="48">
        <f t="shared" si="37"/>
        <v>0</v>
      </c>
      <c r="C76" s="48">
        <f t="shared" si="37"/>
        <v>9375100</v>
      </c>
      <c r="D76" s="48">
        <f t="shared" si="37"/>
        <v>1671700</v>
      </c>
      <c r="E76" s="48">
        <f t="shared" si="37"/>
        <v>1418500</v>
      </c>
      <c r="F76" s="48">
        <f t="shared" si="37"/>
        <v>2586200</v>
      </c>
      <c r="G76" s="29">
        <f t="shared" si="37"/>
        <v>1576512.6</v>
      </c>
      <c r="H76" s="29">
        <f t="shared" si="37"/>
        <v>1777057.6888000013</v>
      </c>
      <c r="I76" s="29">
        <f t="shared" si="37"/>
        <v>1880167.6495519993</v>
      </c>
      <c r="J76" s="29">
        <f t="shared" si="37"/>
        <v>1985480.3495420788</v>
      </c>
      <c r="K76" s="29">
        <f t="shared" si="37"/>
        <v>2093199.1978912852</v>
      </c>
    </row>
    <row r="77" spans="1:11">
      <c r="A77" s="24" t="s">
        <v>106</v>
      </c>
      <c r="B77" s="48">
        <f>B73+B74-B75-B76</f>
        <v>5262225</v>
      </c>
      <c r="C77" s="48">
        <f t="shared" ref="C77:F77" si="38">C73+C74-C75-C76</f>
        <v>-8105280</v>
      </c>
      <c r="D77" s="48">
        <f t="shared" si="38"/>
        <v>5447115</v>
      </c>
      <c r="E77" s="48">
        <f t="shared" si="38"/>
        <v>3509850</v>
      </c>
      <c r="F77" s="48">
        <f t="shared" si="38"/>
        <v>4124890</v>
      </c>
      <c r="G77" s="29">
        <f>G73+G74-G75-G76</f>
        <v>5962513.5880000014</v>
      </c>
      <c r="H77" s="29">
        <f t="shared" ref="H77:K77" si="39">H73+H74-H75-H76</f>
        <v>5652698.1875999998</v>
      </c>
      <c r="I77" s="29">
        <f t="shared" si="39"/>
        <v>6656966.6019480024</v>
      </c>
      <c r="J77" s="29">
        <f t="shared" si="39"/>
        <v>6944042.5838843612</v>
      </c>
      <c r="K77" s="29">
        <f t="shared" si="39"/>
        <v>7591738.1574827526</v>
      </c>
    </row>
    <row r="78" spans="1:11">
      <c r="A78" s="34" t="s">
        <v>113</v>
      </c>
      <c r="B78" s="48"/>
      <c r="C78" s="48"/>
      <c r="D78" s="48"/>
      <c r="E78" s="48"/>
      <c r="F78" s="48"/>
      <c r="G78" s="29"/>
      <c r="H78" s="29"/>
      <c r="I78" s="29"/>
      <c r="J78" s="29"/>
      <c r="K78" s="29">
        <f>K77*(1+B19)/(B18-B19)</f>
        <v>144102437.24851522</v>
      </c>
    </row>
    <row r="79" spans="1:11">
      <c r="A79" s="24" t="s">
        <v>114</v>
      </c>
      <c r="B79" s="35"/>
      <c r="C79" s="24"/>
      <c r="D79" s="24"/>
      <c r="E79" s="24"/>
      <c r="F79" s="24"/>
      <c r="G79" s="29">
        <f>G77/(1+B18)^G20</f>
        <v>5525962.5468025962</v>
      </c>
      <c r="H79" s="29">
        <f t="shared" ref="H79:K79" si="40">H77/(1+C18)^H20</f>
        <v>5652698.1875999998</v>
      </c>
      <c r="I79" s="29">
        <f t="shared" si="40"/>
        <v>6656966.6019480024</v>
      </c>
      <c r="J79" s="29">
        <f t="shared" si="40"/>
        <v>6944042.5838843612</v>
      </c>
      <c r="K79" s="29">
        <f t="shared" si="40"/>
        <v>7591738.1574827526</v>
      </c>
    </row>
    <row r="80" spans="1:11">
      <c r="A80" s="24" t="s">
        <v>115</v>
      </c>
      <c r="B80" s="24"/>
      <c r="C80" s="24"/>
      <c r="D80" s="24"/>
      <c r="E80" s="24"/>
      <c r="F80" s="24"/>
      <c r="G80" s="29"/>
      <c r="H80" s="29"/>
      <c r="I80" s="29"/>
      <c r="J80" s="29"/>
      <c r="K80" s="29">
        <f>K78/(1+B18)^K20</f>
        <v>98529006.304287285</v>
      </c>
    </row>
    <row r="81" spans="1:2">
      <c r="A81" s="24" t="s">
        <v>116</v>
      </c>
      <c r="B81" s="24">
        <f>SUM(G79:K80)</f>
        <v>130900414.38200501</v>
      </c>
    </row>
    <row r="82" spans="1:2">
      <c r="A82" s="24" t="s">
        <v>117</v>
      </c>
      <c r="B82" s="24">
        <f>F48</f>
        <v>24599800</v>
      </c>
    </row>
    <row r="83" spans="1:2">
      <c r="A83" s="24" t="s">
        <v>118</v>
      </c>
      <c r="B83" s="24">
        <f>B81-B82+F34</f>
        <v>110253614.38200501</v>
      </c>
    </row>
    <row r="84" spans="1:2">
      <c r="A84" s="45" t="s">
        <v>119</v>
      </c>
      <c r="B84" s="73">
        <v>1136600</v>
      </c>
    </row>
    <row r="85" spans="1:2">
      <c r="A85" s="24" t="s">
        <v>120</v>
      </c>
      <c r="B85" s="36">
        <f>B83/B84</f>
        <v>97.003004031325887</v>
      </c>
    </row>
  </sheetData>
  <mergeCells count="2">
    <mergeCell ref="P11:T11"/>
    <mergeCell ref="N13:N17"/>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3A8E8-A48E-4C49-8895-614F783D6366}">
  <dimension ref="A1:L191"/>
  <sheetViews>
    <sheetView topLeftCell="A124" workbookViewId="0">
      <selection activeCell="A188" sqref="A188:XFD188"/>
    </sheetView>
  </sheetViews>
  <sheetFormatPr baseColWidth="10" defaultColWidth="8.83203125" defaultRowHeight="16"/>
  <cols>
    <col min="1" max="1" width="35.1640625" customWidth="1"/>
    <col min="2" max="2" width="0" hidden="1" customWidth="1"/>
    <col min="3" max="12" width="13" customWidth="1"/>
  </cols>
  <sheetData>
    <row r="1" spans="1:12">
      <c r="A1" s="49"/>
      <c r="B1" s="49"/>
      <c r="C1" s="49"/>
      <c r="D1" s="49"/>
      <c r="E1" s="49"/>
      <c r="F1" s="49"/>
      <c r="G1" s="49"/>
      <c r="H1" s="49"/>
      <c r="I1" s="49"/>
      <c r="J1" s="49"/>
      <c r="K1" s="49"/>
      <c r="L1" s="49"/>
    </row>
    <row r="2" spans="1:12" ht="20">
      <c r="A2" s="50" t="s">
        <v>215</v>
      </c>
      <c r="B2" s="50"/>
      <c r="C2" s="50"/>
      <c r="D2" s="50"/>
      <c r="E2" s="50"/>
      <c r="F2" s="50"/>
      <c r="G2" s="50"/>
      <c r="H2" s="50"/>
      <c r="I2" s="50"/>
      <c r="J2" s="50"/>
      <c r="K2" s="50"/>
      <c r="L2" s="50"/>
    </row>
    <row r="3" spans="1:12">
      <c r="A3" s="51"/>
      <c r="B3" s="51"/>
      <c r="C3" s="51"/>
      <c r="D3" s="51"/>
      <c r="E3" s="51"/>
      <c r="F3" s="51"/>
      <c r="G3" s="51"/>
      <c r="H3" s="51"/>
      <c r="I3" s="51"/>
      <c r="J3" s="51"/>
      <c r="K3" s="51"/>
      <c r="L3" s="51"/>
    </row>
    <row r="4" spans="1:12">
      <c r="A4" s="52" t="s">
        <v>29</v>
      </c>
      <c r="B4" s="52"/>
      <c r="C4" s="53" t="s">
        <v>216</v>
      </c>
      <c r="D4" s="53" t="s">
        <v>217</v>
      </c>
      <c r="E4" s="53" t="s">
        <v>218</v>
      </c>
      <c r="F4" s="53" t="s">
        <v>219</v>
      </c>
      <c r="G4" s="53" t="s">
        <v>220</v>
      </c>
      <c r="H4" s="53" t="s">
        <v>50</v>
      </c>
      <c r="I4" s="53" t="s">
        <v>51</v>
      </c>
      <c r="J4" s="53" t="s">
        <v>52</v>
      </c>
      <c r="K4" s="53" t="s">
        <v>53</v>
      </c>
      <c r="L4" s="53" t="s">
        <v>54</v>
      </c>
    </row>
    <row r="5" spans="1:12">
      <c r="A5" s="54" t="s">
        <v>221</v>
      </c>
      <c r="B5" s="54"/>
      <c r="C5" s="55" t="s">
        <v>222</v>
      </c>
      <c r="D5" s="55" t="s">
        <v>223</v>
      </c>
      <c r="E5" s="55" t="s">
        <v>224</v>
      </c>
      <c r="F5" s="55" t="s">
        <v>225</v>
      </c>
      <c r="G5" s="55" t="s">
        <v>226</v>
      </c>
      <c r="H5" s="55" t="s">
        <v>227</v>
      </c>
      <c r="I5" s="55" t="s">
        <v>228</v>
      </c>
      <c r="J5" s="55" t="s">
        <v>229</v>
      </c>
      <c r="K5" s="55" t="s">
        <v>230</v>
      </c>
      <c r="L5" s="55" t="s">
        <v>231</v>
      </c>
    </row>
    <row r="6" spans="1:12">
      <c r="A6" s="56" t="s">
        <v>98</v>
      </c>
      <c r="B6" s="57"/>
      <c r="C6" s="57"/>
      <c r="D6" s="57"/>
      <c r="E6" s="57"/>
      <c r="F6" s="57"/>
      <c r="G6" s="57"/>
      <c r="H6" s="57"/>
      <c r="I6" s="57"/>
      <c r="J6" s="57"/>
      <c r="K6" s="57"/>
      <c r="L6" s="57"/>
    </row>
    <row r="7" spans="1:12">
      <c r="A7" s="58" t="s">
        <v>232</v>
      </c>
      <c r="B7" s="58" t="s">
        <v>233</v>
      </c>
      <c r="C7" s="8">
        <v>1843800</v>
      </c>
      <c r="D7" s="8">
        <v>1611400</v>
      </c>
      <c r="E7" s="8">
        <v>2263200</v>
      </c>
      <c r="F7" s="8">
        <v>2690900</v>
      </c>
      <c r="G7" s="8">
        <v>8937800</v>
      </c>
      <c r="H7" s="8">
        <v>2757100</v>
      </c>
      <c r="I7" s="8">
        <v>4632100</v>
      </c>
      <c r="J7" s="8">
        <v>6617900</v>
      </c>
      <c r="K7" s="8">
        <v>3182900</v>
      </c>
      <c r="L7" s="8">
        <v>3953000</v>
      </c>
    </row>
    <row r="8" spans="1:12">
      <c r="A8" s="59" t="s">
        <v>234</v>
      </c>
      <c r="B8" s="59" t="s">
        <v>233</v>
      </c>
      <c r="C8" s="60">
        <v>-42.9834869194137</v>
      </c>
      <c r="D8" s="60">
        <v>-12.6044039483675</v>
      </c>
      <c r="E8" s="60">
        <v>40.449298746431701</v>
      </c>
      <c r="F8" s="60">
        <v>18.898020501944199</v>
      </c>
      <c r="G8" s="60">
        <v>232.149095098294</v>
      </c>
      <c r="H8" s="60">
        <v>-69.152364116449206</v>
      </c>
      <c r="I8" s="60">
        <v>68.006238438939505</v>
      </c>
      <c r="J8" s="60">
        <v>42.8704043522376</v>
      </c>
      <c r="K8" s="60">
        <v>-51.904682754348102</v>
      </c>
      <c r="L8" s="60">
        <v>24.194916585503801</v>
      </c>
    </row>
    <row r="9" spans="1:12">
      <c r="A9" s="58" t="s">
        <v>235</v>
      </c>
      <c r="B9" s="58" t="s">
        <v>236</v>
      </c>
      <c r="C9" s="8">
        <v>1708400</v>
      </c>
      <c r="D9" s="8">
        <v>1530100</v>
      </c>
      <c r="E9" s="8">
        <v>2128800</v>
      </c>
      <c r="F9" s="8">
        <v>2462300</v>
      </c>
      <c r="G9" s="8">
        <v>8756300</v>
      </c>
      <c r="H9" s="8">
        <v>2686600</v>
      </c>
      <c r="I9" s="8">
        <v>4350900</v>
      </c>
      <c r="J9" s="8">
        <v>6455700</v>
      </c>
      <c r="K9" s="8">
        <v>2818400</v>
      </c>
      <c r="L9" s="8">
        <v>3551500</v>
      </c>
    </row>
    <row r="10" spans="1:12">
      <c r="A10" s="59" t="s">
        <v>234</v>
      </c>
      <c r="B10" s="59" t="s">
        <v>236</v>
      </c>
      <c r="C10" s="60">
        <v>-33.672399735994098</v>
      </c>
      <c r="D10" s="60">
        <v>-10.436665886209299</v>
      </c>
      <c r="E10" s="60">
        <v>39.128161558068101</v>
      </c>
      <c r="F10" s="60">
        <v>15.666102968808699</v>
      </c>
      <c r="G10" s="60">
        <v>255.61466921171299</v>
      </c>
      <c r="H10" s="60">
        <v>-69.318090974498404</v>
      </c>
      <c r="I10" s="60">
        <v>61.948187299932997</v>
      </c>
      <c r="J10" s="60">
        <v>48.376198027994199</v>
      </c>
      <c r="K10" s="60">
        <v>-56.342457053456599</v>
      </c>
      <c r="L10" s="60">
        <v>26.0112120351973</v>
      </c>
    </row>
    <row r="11" spans="1:12">
      <c r="A11" s="58" t="s">
        <v>237</v>
      </c>
      <c r="B11" s="58" t="s">
        <v>238</v>
      </c>
      <c r="C11" s="8">
        <v>135400</v>
      </c>
      <c r="D11" s="8">
        <v>81300</v>
      </c>
      <c r="E11" s="8">
        <v>134400</v>
      </c>
      <c r="F11" s="8">
        <v>228600</v>
      </c>
      <c r="G11" s="8">
        <v>181500</v>
      </c>
      <c r="H11" s="8">
        <v>70500</v>
      </c>
      <c r="I11" s="8">
        <v>281200</v>
      </c>
      <c r="J11" s="8">
        <v>162200</v>
      </c>
      <c r="K11" s="8">
        <v>364500</v>
      </c>
      <c r="L11" s="8">
        <v>401500</v>
      </c>
    </row>
    <row r="12" spans="1:12">
      <c r="A12" s="59" t="s">
        <v>234</v>
      </c>
      <c r="B12" s="59" t="s">
        <v>238</v>
      </c>
      <c r="C12" s="60">
        <v>-79.425619206807497</v>
      </c>
      <c r="D12" s="60">
        <v>-39.955686853766601</v>
      </c>
      <c r="E12" s="60">
        <v>65.3136531365314</v>
      </c>
      <c r="F12" s="60">
        <v>70.089285714285694</v>
      </c>
      <c r="G12" s="60">
        <v>-20.603674540682398</v>
      </c>
      <c r="H12" s="60">
        <v>-61.157024793388402</v>
      </c>
      <c r="I12" s="60">
        <v>298.86524822694997</v>
      </c>
      <c r="J12" s="60">
        <v>-42.318634423897599</v>
      </c>
      <c r="K12" s="60">
        <v>124.722564734895</v>
      </c>
      <c r="L12" s="60">
        <v>10.150891632373099</v>
      </c>
    </row>
    <row r="13" spans="1:12">
      <c r="A13" s="58" t="s">
        <v>239</v>
      </c>
      <c r="B13" s="58" t="s">
        <v>240</v>
      </c>
      <c r="C13" s="8">
        <v>631000</v>
      </c>
      <c r="D13" s="8">
        <v>719000</v>
      </c>
      <c r="E13" s="8">
        <v>768800</v>
      </c>
      <c r="F13" s="8">
        <v>870400</v>
      </c>
      <c r="G13" s="8">
        <v>693100</v>
      </c>
      <c r="H13" s="8">
        <v>879200</v>
      </c>
      <c r="I13" s="8">
        <v>883400</v>
      </c>
      <c r="J13" s="8">
        <v>940000</v>
      </c>
      <c r="K13" s="8">
        <v>1175500</v>
      </c>
      <c r="L13" s="8">
        <v>1184100</v>
      </c>
    </row>
    <row r="14" spans="1:12">
      <c r="A14" s="59" t="s">
        <v>234</v>
      </c>
      <c r="B14" s="59" t="s">
        <v>240</v>
      </c>
      <c r="C14" s="60">
        <v>12.397577484859299</v>
      </c>
      <c r="D14" s="60">
        <v>13.946117274168</v>
      </c>
      <c r="E14" s="60">
        <v>6.9262865090403301</v>
      </c>
      <c r="F14" s="60">
        <v>13.2154006243496</v>
      </c>
      <c r="G14" s="60">
        <v>-20.369944852941199</v>
      </c>
      <c r="H14" s="60">
        <v>26.8503823402107</v>
      </c>
      <c r="I14" s="60">
        <v>0.47770700636941898</v>
      </c>
      <c r="J14" s="60">
        <v>6.4070636178401701</v>
      </c>
      <c r="K14" s="60">
        <v>25.053191489361701</v>
      </c>
      <c r="L14" s="60">
        <v>0.73160357294767397</v>
      </c>
    </row>
    <row r="15" spans="1:12">
      <c r="A15" s="58" t="s">
        <v>241</v>
      </c>
      <c r="B15" s="58" t="s">
        <v>242</v>
      </c>
      <c r="C15" s="8">
        <v>631000</v>
      </c>
      <c r="D15" s="8">
        <v>719000</v>
      </c>
      <c r="E15" s="8">
        <v>768800</v>
      </c>
      <c r="F15" s="8">
        <v>870400</v>
      </c>
      <c r="G15" s="8">
        <v>693100</v>
      </c>
      <c r="H15" s="8">
        <v>879200</v>
      </c>
      <c r="I15" s="8">
        <v>883400</v>
      </c>
      <c r="J15" s="8">
        <v>940000</v>
      </c>
      <c r="K15" s="8">
        <v>1175500</v>
      </c>
      <c r="L15" s="8">
        <v>1184100</v>
      </c>
    </row>
    <row r="16" spans="1:12">
      <c r="A16" s="59" t="s">
        <v>234</v>
      </c>
      <c r="B16" s="59" t="s">
        <v>242</v>
      </c>
      <c r="C16" s="60">
        <v>12.397577484859299</v>
      </c>
      <c r="D16" s="60">
        <v>13.946117274168</v>
      </c>
      <c r="E16" s="60">
        <v>6.9262865090403301</v>
      </c>
      <c r="F16" s="60">
        <v>13.2154006243496</v>
      </c>
      <c r="G16" s="60">
        <v>-20.369944852941199</v>
      </c>
      <c r="H16" s="60">
        <v>26.8503823402107</v>
      </c>
      <c r="I16" s="60">
        <v>0.47770700636941898</v>
      </c>
      <c r="J16" s="60">
        <v>6.4070636178401701</v>
      </c>
      <c r="K16" s="60">
        <v>25.053191489361701</v>
      </c>
      <c r="L16" s="60">
        <v>0.73160357294767397</v>
      </c>
    </row>
    <row r="17" spans="1:12">
      <c r="A17" s="58" t="s">
        <v>243</v>
      </c>
      <c r="B17" s="58" t="s">
        <v>244</v>
      </c>
      <c r="C17" s="8">
        <v>0</v>
      </c>
      <c r="D17" s="8">
        <v>0</v>
      </c>
      <c r="E17" s="8">
        <v>0</v>
      </c>
      <c r="F17" s="8">
        <v>0</v>
      </c>
      <c r="G17" s="8">
        <v>0</v>
      </c>
      <c r="H17" s="8">
        <v>0</v>
      </c>
      <c r="I17" s="8">
        <v>0</v>
      </c>
      <c r="J17" s="8">
        <v>0</v>
      </c>
      <c r="K17" s="8">
        <v>0</v>
      </c>
      <c r="L17" s="8">
        <v>0</v>
      </c>
    </row>
    <row r="18" spans="1:12">
      <c r="A18" s="58" t="s">
        <v>245</v>
      </c>
      <c r="B18" s="58" t="s">
        <v>246</v>
      </c>
      <c r="C18" s="8">
        <v>1090900</v>
      </c>
      <c r="D18" s="8">
        <v>1306400</v>
      </c>
      <c r="E18" s="8">
        <v>1378500</v>
      </c>
      <c r="F18" s="8">
        <v>1364000</v>
      </c>
      <c r="G18" s="8">
        <v>1400500</v>
      </c>
      <c r="H18" s="8">
        <v>1529400</v>
      </c>
      <c r="I18" s="8">
        <v>1551400</v>
      </c>
      <c r="J18" s="8">
        <v>1603900</v>
      </c>
      <c r="K18" s="8">
        <v>2176600</v>
      </c>
      <c r="L18" s="8">
        <v>1806400</v>
      </c>
    </row>
    <row r="19" spans="1:12">
      <c r="A19" s="59" t="s">
        <v>234</v>
      </c>
      <c r="B19" s="59" t="s">
        <v>246</v>
      </c>
      <c r="C19" s="60">
        <v>-1.82685385169186</v>
      </c>
      <c r="D19" s="60">
        <v>19.754331286094001</v>
      </c>
      <c r="E19" s="60">
        <v>5.5189834660134602</v>
      </c>
      <c r="F19" s="60">
        <v>-1.0518679724338</v>
      </c>
      <c r="G19" s="60">
        <v>2.6759530791788899</v>
      </c>
      <c r="H19" s="60">
        <v>9.2038557657979396</v>
      </c>
      <c r="I19" s="60">
        <v>1.4384726036354101</v>
      </c>
      <c r="J19" s="60">
        <v>3.3840402217352099</v>
      </c>
      <c r="K19" s="60">
        <v>35.706714882474003</v>
      </c>
      <c r="L19" s="60">
        <v>-17.0081778921253</v>
      </c>
    </row>
    <row r="20" spans="1:12">
      <c r="A20" s="58" t="s">
        <v>247</v>
      </c>
      <c r="B20" s="58" t="s">
        <v>248</v>
      </c>
      <c r="C20" s="8">
        <v>671200</v>
      </c>
      <c r="D20" s="8">
        <v>809100</v>
      </c>
      <c r="E20" s="8">
        <v>862000</v>
      </c>
      <c r="F20" s="8">
        <v>842100</v>
      </c>
      <c r="G20" s="8">
        <v>869800</v>
      </c>
      <c r="H20" s="8">
        <v>933000</v>
      </c>
      <c r="I20" s="8">
        <v>888200</v>
      </c>
      <c r="J20" s="8">
        <v>903800</v>
      </c>
      <c r="K20" s="8">
        <v>1328900</v>
      </c>
      <c r="L20" s="8">
        <v>1028000</v>
      </c>
    </row>
    <row r="21" spans="1:12">
      <c r="A21" s="59" t="s">
        <v>234</v>
      </c>
      <c r="B21" s="59" t="s">
        <v>248</v>
      </c>
      <c r="C21" s="60">
        <v>-7.8528281164195404</v>
      </c>
      <c r="D21" s="60">
        <v>20.545292014302699</v>
      </c>
      <c r="E21" s="60">
        <v>6.53812878506983</v>
      </c>
      <c r="F21" s="60">
        <v>-2.3085846867749402</v>
      </c>
      <c r="G21" s="60">
        <v>3.2893955587222301</v>
      </c>
      <c r="H21" s="60">
        <v>7.2660381696941903</v>
      </c>
      <c r="I21" s="60">
        <v>-4.8017148981779201</v>
      </c>
      <c r="J21" s="60">
        <v>1.7563611799144201</v>
      </c>
      <c r="K21" s="60">
        <v>47.034742199601702</v>
      </c>
      <c r="L21" s="60">
        <v>-22.642787267665</v>
      </c>
    </row>
    <row r="22" spans="1:12">
      <c r="A22" s="58" t="s">
        <v>249</v>
      </c>
      <c r="B22" s="58" t="s">
        <v>250</v>
      </c>
      <c r="C22" s="8">
        <v>0</v>
      </c>
      <c r="D22" s="8">
        <v>0</v>
      </c>
      <c r="E22" s="8">
        <v>0</v>
      </c>
      <c r="F22" s="8">
        <v>0</v>
      </c>
      <c r="G22" s="8">
        <v>0</v>
      </c>
      <c r="H22" s="8">
        <v>0</v>
      </c>
      <c r="I22" s="8">
        <v>0</v>
      </c>
      <c r="J22" s="8">
        <v>0</v>
      </c>
      <c r="K22" s="8">
        <v>0</v>
      </c>
      <c r="L22" s="8">
        <v>0</v>
      </c>
    </row>
    <row r="23" spans="1:12">
      <c r="A23" s="58" t="s">
        <v>251</v>
      </c>
      <c r="B23" s="58" t="s">
        <v>252</v>
      </c>
      <c r="C23" s="8">
        <v>265700</v>
      </c>
      <c r="D23" s="8">
        <v>318300</v>
      </c>
      <c r="E23" s="8">
        <v>308600</v>
      </c>
      <c r="F23" s="8">
        <v>301100</v>
      </c>
      <c r="G23" s="8">
        <v>273100</v>
      </c>
      <c r="H23" s="8">
        <v>288000</v>
      </c>
      <c r="I23" s="8">
        <v>293900</v>
      </c>
      <c r="J23" s="8">
        <v>329300</v>
      </c>
      <c r="K23" s="8">
        <v>430900</v>
      </c>
      <c r="L23" s="8">
        <v>364600</v>
      </c>
    </row>
    <row r="24" spans="1:12">
      <c r="A24" s="59" t="s">
        <v>234</v>
      </c>
      <c r="B24" s="59" t="s">
        <v>252</v>
      </c>
      <c r="C24" s="60">
        <v>9.2067406494040203</v>
      </c>
      <c r="D24" s="60">
        <v>19.796763266842301</v>
      </c>
      <c r="E24" s="60">
        <v>-3.0474395224630801</v>
      </c>
      <c r="F24" s="60">
        <v>-2.43033052495139</v>
      </c>
      <c r="G24" s="60">
        <v>-9.2992361341746896</v>
      </c>
      <c r="H24" s="60">
        <v>5.4558769681435297</v>
      </c>
      <c r="I24" s="60">
        <v>2.0486111111111001</v>
      </c>
      <c r="J24" s="60">
        <v>12.0449132357945</v>
      </c>
      <c r="K24" s="60">
        <v>30.8533252353477</v>
      </c>
      <c r="L24" s="60">
        <v>-15.3864005569738</v>
      </c>
    </row>
    <row r="25" spans="1:12">
      <c r="A25" s="58" t="s">
        <v>253</v>
      </c>
      <c r="B25" s="58" t="s">
        <v>254</v>
      </c>
      <c r="C25" s="8">
        <v>154000</v>
      </c>
      <c r="D25" s="8">
        <v>179000</v>
      </c>
      <c r="E25" s="8">
        <v>207900</v>
      </c>
      <c r="F25" s="8">
        <v>220800</v>
      </c>
      <c r="G25" s="8">
        <v>257600</v>
      </c>
      <c r="H25" s="8">
        <v>308400</v>
      </c>
      <c r="I25" s="8">
        <v>369300</v>
      </c>
      <c r="J25" s="8">
        <v>370800</v>
      </c>
      <c r="K25" s="8">
        <v>416800</v>
      </c>
      <c r="L25" s="8">
        <v>413800</v>
      </c>
    </row>
    <row r="26" spans="1:12">
      <c r="A26" s="59" t="s">
        <v>234</v>
      </c>
      <c r="B26" s="59" t="s">
        <v>254</v>
      </c>
      <c r="C26" s="60">
        <v>10.394265232974901</v>
      </c>
      <c r="D26" s="60">
        <v>16.2337662337662</v>
      </c>
      <c r="E26" s="60">
        <v>16.145251396648</v>
      </c>
      <c r="F26" s="60">
        <v>6.2049062049062096</v>
      </c>
      <c r="G26" s="60">
        <v>16.6666666666667</v>
      </c>
      <c r="H26" s="60">
        <v>19.720496894409902</v>
      </c>
      <c r="I26" s="60">
        <v>19.7470817120623</v>
      </c>
      <c r="J26" s="60">
        <v>0.40617384240454901</v>
      </c>
      <c r="K26" s="60">
        <v>12.4056094929881</v>
      </c>
      <c r="L26" s="60">
        <v>-0.71976967370441503</v>
      </c>
    </row>
    <row r="27" spans="1:12">
      <c r="A27" s="58" t="s">
        <v>255</v>
      </c>
      <c r="B27" s="58" t="s">
        <v>256</v>
      </c>
      <c r="C27" s="8">
        <v>603000</v>
      </c>
      <c r="D27" s="8">
        <v>334200</v>
      </c>
      <c r="E27" s="8">
        <v>350000</v>
      </c>
      <c r="F27" s="8">
        <v>358100</v>
      </c>
      <c r="G27" s="8">
        <v>1462800</v>
      </c>
      <c r="H27" s="8">
        <v>488200</v>
      </c>
      <c r="I27" s="8">
        <v>739500</v>
      </c>
      <c r="J27" s="8">
        <v>594600</v>
      </c>
      <c r="K27" s="8">
        <v>483700</v>
      </c>
      <c r="L27" s="8">
        <v>359900</v>
      </c>
    </row>
    <row r="28" spans="1:12">
      <c r="A28" s="59" t="s">
        <v>234</v>
      </c>
      <c r="B28" s="59" t="s">
        <v>256</v>
      </c>
      <c r="C28" s="60">
        <v>6.72566371681416</v>
      </c>
      <c r="D28" s="60">
        <v>-44.5771144278607</v>
      </c>
      <c r="E28" s="60">
        <v>4.7277079593058096</v>
      </c>
      <c r="F28" s="60">
        <v>2.3142857142857198</v>
      </c>
      <c r="G28" s="60">
        <v>308.48924881318101</v>
      </c>
      <c r="H28" s="60">
        <v>-66.6256494394312</v>
      </c>
      <c r="I28" s="60">
        <v>51.474805407619797</v>
      </c>
      <c r="J28" s="60">
        <v>-19.594320486815398</v>
      </c>
      <c r="K28" s="60">
        <v>-18.651194080053799</v>
      </c>
      <c r="L28" s="60">
        <v>-25.594376679760199</v>
      </c>
    </row>
    <row r="29" spans="1:12">
      <c r="A29" s="58" t="s">
        <v>257</v>
      </c>
      <c r="B29" s="58" t="s">
        <v>258</v>
      </c>
      <c r="C29" s="8">
        <v>28700</v>
      </c>
      <c r="D29" s="8">
        <v>50800</v>
      </c>
      <c r="E29" s="8">
        <v>27700</v>
      </c>
      <c r="F29" s="8">
        <v>24400</v>
      </c>
      <c r="G29" s="8">
        <v>10400</v>
      </c>
      <c r="H29" s="8">
        <v>12600</v>
      </c>
      <c r="I29" s="8">
        <v>15600</v>
      </c>
      <c r="J29" s="8">
        <v>147600</v>
      </c>
      <c r="K29" s="8">
        <v>75100</v>
      </c>
      <c r="L29" s="8">
        <v>41000</v>
      </c>
    </row>
    <row r="30" spans="1:12">
      <c r="A30" s="59" t="s">
        <v>234</v>
      </c>
      <c r="B30" s="59" t="s">
        <v>258</v>
      </c>
      <c r="C30" s="60">
        <v>202.105263157895</v>
      </c>
      <c r="D30" s="60">
        <v>77.003484320557504</v>
      </c>
      <c r="E30" s="60">
        <v>-45.472440944881903</v>
      </c>
      <c r="F30" s="60">
        <v>-11.913357400721999</v>
      </c>
      <c r="G30" s="60">
        <v>-57.377049180327901</v>
      </c>
      <c r="H30" s="60">
        <v>21.1538461538461</v>
      </c>
      <c r="I30" s="60">
        <v>23.8095238095238</v>
      </c>
      <c r="J30" s="60">
        <v>846.15384615384596</v>
      </c>
      <c r="K30" s="60">
        <v>-49.119241192411899</v>
      </c>
      <c r="L30" s="60">
        <v>-45.406125166444703</v>
      </c>
    </row>
    <row r="31" spans="1:12">
      <c r="A31" s="58" t="s">
        <v>259</v>
      </c>
      <c r="B31" s="58" t="s">
        <v>260</v>
      </c>
      <c r="C31" s="8">
        <v>317400</v>
      </c>
      <c r="D31" s="8" t="s">
        <v>261</v>
      </c>
      <c r="E31" s="8" t="s">
        <v>261</v>
      </c>
      <c r="F31" s="8" t="s">
        <v>261</v>
      </c>
      <c r="G31" s="8" t="s">
        <v>261</v>
      </c>
      <c r="H31" s="8" t="s">
        <v>261</v>
      </c>
      <c r="I31" s="8" t="s">
        <v>261</v>
      </c>
      <c r="J31" s="8" t="s">
        <v>261</v>
      </c>
      <c r="K31" s="8" t="s">
        <v>261</v>
      </c>
      <c r="L31" s="8" t="s">
        <v>261</v>
      </c>
    </row>
    <row r="32" spans="1:12">
      <c r="A32" s="59" t="s">
        <v>234</v>
      </c>
      <c r="B32" s="59" t="s">
        <v>260</v>
      </c>
      <c r="C32" s="60">
        <v>14.460872701045799</v>
      </c>
      <c r="D32" s="60" t="s">
        <v>261</v>
      </c>
      <c r="E32" s="60" t="s">
        <v>261</v>
      </c>
      <c r="F32" s="60" t="s">
        <v>261</v>
      </c>
      <c r="G32" s="60" t="s">
        <v>261</v>
      </c>
      <c r="H32" s="60" t="s">
        <v>261</v>
      </c>
      <c r="I32" s="60" t="s">
        <v>261</v>
      </c>
      <c r="J32" s="60" t="s">
        <v>261</v>
      </c>
      <c r="K32" s="60" t="s">
        <v>261</v>
      </c>
      <c r="L32" s="60" t="s">
        <v>261</v>
      </c>
    </row>
    <row r="33" spans="1:12">
      <c r="A33" s="58" t="s">
        <v>262</v>
      </c>
      <c r="B33" s="58" t="s">
        <v>263</v>
      </c>
      <c r="C33" s="8" t="s">
        <v>261</v>
      </c>
      <c r="D33" s="8" t="s">
        <v>261</v>
      </c>
      <c r="E33" s="8" t="s">
        <v>261</v>
      </c>
      <c r="F33" s="8" t="s">
        <v>261</v>
      </c>
      <c r="G33" s="8" t="s">
        <v>261</v>
      </c>
      <c r="H33" s="8" t="s">
        <v>261</v>
      </c>
      <c r="I33" s="8">
        <v>356900</v>
      </c>
      <c r="J33" s="8">
        <v>20700</v>
      </c>
      <c r="K33" s="8">
        <v>27700</v>
      </c>
      <c r="L33" s="8" t="s">
        <v>261</v>
      </c>
    </row>
    <row r="34" spans="1:12">
      <c r="A34" s="59" t="s">
        <v>234</v>
      </c>
      <c r="B34" s="59" t="s">
        <v>263</v>
      </c>
      <c r="C34" s="60" t="s">
        <v>261</v>
      </c>
      <c r="D34" s="60" t="s">
        <v>261</v>
      </c>
      <c r="E34" s="60" t="s">
        <v>261</v>
      </c>
      <c r="F34" s="60" t="s">
        <v>261</v>
      </c>
      <c r="G34" s="60" t="s">
        <v>261</v>
      </c>
      <c r="H34" s="60" t="s">
        <v>261</v>
      </c>
      <c r="I34" s="60" t="s">
        <v>261</v>
      </c>
      <c r="J34" s="60">
        <v>-94.200056038105899</v>
      </c>
      <c r="K34" s="60">
        <v>33.816425120772898</v>
      </c>
      <c r="L34" s="60" t="s">
        <v>261</v>
      </c>
    </row>
    <row r="35" spans="1:12">
      <c r="A35" s="58" t="s">
        <v>264</v>
      </c>
      <c r="B35" s="58" t="s">
        <v>265</v>
      </c>
      <c r="C35" s="8">
        <v>256900</v>
      </c>
      <c r="D35" s="8">
        <v>283400</v>
      </c>
      <c r="E35" s="8">
        <v>322300</v>
      </c>
      <c r="F35" s="8">
        <v>333700</v>
      </c>
      <c r="G35" s="8">
        <v>1452400</v>
      </c>
      <c r="H35" s="8">
        <v>475600</v>
      </c>
      <c r="I35" s="8">
        <v>367000</v>
      </c>
      <c r="J35" s="8">
        <v>426300</v>
      </c>
      <c r="K35" s="8">
        <v>380900</v>
      </c>
      <c r="L35" s="8">
        <v>318900</v>
      </c>
    </row>
    <row r="36" spans="1:12">
      <c r="A36" s="59" t="s">
        <v>234</v>
      </c>
      <c r="B36" s="59" t="s">
        <v>265</v>
      </c>
      <c r="C36" s="60">
        <v>-7.6563623292595304</v>
      </c>
      <c r="D36" s="60">
        <v>10.315297781237801</v>
      </c>
      <c r="E36" s="60">
        <v>13.7261820748059</v>
      </c>
      <c r="F36" s="60">
        <v>3.5370772572137699</v>
      </c>
      <c r="G36" s="60">
        <v>335.24123464189398</v>
      </c>
      <c r="H36" s="60">
        <v>-67.254199944918795</v>
      </c>
      <c r="I36" s="60">
        <v>-22.834314550042102</v>
      </c>
      <c r="J36" s="60">
        <v>16.158038147138999</v>
      </c>
      <c r="K36" s="60">
        <v>-10.649777152240199</v>
      </c>
      <c r="L36" s="60">
        <v>-16.277238120241499</v>
      </c>
    </row>
    <row r="37" spans="1:12">
      <c r="A37" s="56" t="s">
        <v>266</v>
      </c>
      <c r="B37" s="56" t="s">
        <v>267</v>
      </c>
      <c r="C37" s="61">
        <v>4168700</v>
      </c>
      <c r="D37" s="61">
        <v>3971000</v>
      </c>
      <c r="E37" s="61">
        <v>4760500</v>
      </c>
      <c r="F37" s="61">
        <v>5283400</v>
      </c>
      <c r="G37" s="61">
        <v>12494200</v>
      </c>
      <c r="H37" s="61">
        <v>5653900</v>
      </c>
      <c r="I37" s="61">
        <v>7806400</v>
      </c>
      <c r="J37" s="61">
        <v>9756400</v>
      </c>
      <c r="K37" s="61">
        <v>7018700</v>
      </c>
      <c r="L37" s="61">
        <v>7303400</v>
      </c>
    </row>
    <row r="38" spans="1:12">
      <c r="A38" s="59" t="s">
        <v>234</v>
      </c>
      <c r="B38" s="59" t="s">
        <v>267</v>
      </c>
      <c r="C38" s="60">
        <v>-23.809262711554599</v>
      </c>
      <c r="D38" s="60">
        <v>-4.7424856669944999</v>
      </c>
      <c r="E38" s="60">
        <v>19.881641903802599</v>
      </c>
      <c r="F38" s="60">
        <v>10.984140321394801</v>
      </c>
      <c r="G38" s="60">
        <v>136.48029677859</v>
      </c>
      <c r="H38" s="60">
        <v>-54.747802980583003</v>
      </c>
      <c r="I38" s="60">
        <v>38.071065989847703</v>
      </c>
      <c r="J38" s="60">
        <v>24.979503996720599</v>
      </c>
      <c r="K38" s="60">
        <v>-28.0605551227912</v>
      </c>
      <c r="L38" s="60">
        <v>4.0563067234673102</v>
      </c>
    </row>
    <row r="39" spans="1:12">
      <c r="A39" s="58" t="s">
        <v>268</v>
      </c>
      <c r="B39" s="58" t="s">
        <v>269</v>
      </c>
      <c r="C39" s="8">
        <v>3519000</v>
      </c>
      <c r="D39" s="8">
        <v>4088300</v>
      </c>
      <c r="E39" s="8">
        <v>4533800</v>
      </c>
      <c r="F39" s="8">
        <v>4919500</v>
      </c>
      <c r="G39" s="8">
        <v>5929100</v>
      </c>
      <c r="H39" s="8">
        <v>6431700</v>
      </c>
      <c r="I39" s="8">
        <v>14375500</v>
      </c>
      <c r="J39" s="8">
        <v>14605500</v>
      </c>
      <c r="K39" s="8">
        <v>14576100</v>
      </c>
      <c r="L39" s="8">
        <v>15799700</v>
      </c>
    </row>
    <row r="40" spans="1:12">
      <c r="A40" s="59" t="s">
        <v>234</v>
      </c>
      <c r="B40" s="59" t="s">
        <v>269</v>
      </c>
      <c r="C40" s="60">
        <v>9.9515700671770002</v>
      </c>
      <c r="D40" s="60">
        <v>16.177891446433701</v>
      </c>
      <c r="E40" s="60">
        <v>10.8969498324487</v>
      </c>
      <c r="F40" s="60">
        <v>8.50721249283162</v>
      </c>
      <c r="G40" s="60">
        <v>20.522410814107101</v>
      </c>
      <c r="H40" s="60">
        <v>8.4768345954697892</v>
      </c>
      <c r="I40" s="60">
        <v>123.510113966758</v>
      </c>
      <c r="J40" s="60">
        <v>1.59994434976175</v>
      </c>
      <c r="K40" s="60">
        <v>-0.20129403306973201</v>
      </c>
      <c r="L40" s="60">
        <v>8.3945637035969902</v>
      </c>
    </row>
    <row r="41" spans="1:12">
      <c r="A41" s="58" t="s">
        <v>270</v>
      </c>
      <c r="B41" s="58" t="s">
        <v>271</v>
      </c>
      <c r="C41" s="8">
        <v>8581100</v>
      </c>
      <c r="D41" s="8">
        <v>9641800</v>
      </c>
      <c r="E41" s="8">
        <v>10573300</v>
      </c>
      <c r="F41" s="8">
        <v>11584000</v>
      </c>
      <c r="G41" s="8">
        <v>13197100</v>
      </c>
      <c r="H41" s="8">
        <v>14273500</v>
      </c>
      <c r="I41" s="8">
        <v>22289400</v>
      </c>
      <c r="J41" s="8">
        <v>23064800</v>
      </c>
      <c r="K41" s="8">
        <v>23625400</v>
      </c>
      <c r="L41" s="8">
        <v>25722800</v>
      </c>
    </row>
    <row r="42" spans="1:12">
      <c r="A42" s="59" t="s">
        <v>234</v>
      </c>
      <c r="B42" s="59" t="s">
        <v>271</v>
      </c>
      <c r="C42" s="60">
        <v>10.2671515400727</v>
      </c>
      <c r="D42" s="60">
        <v>12.360886133479401</v>
      </c>
      <c r="E42" s="60">
        <v>9.6610591383351707</v>
      </c>
      <c r="F42" s="60">
        <v>9.5589834772493099</v>
      </c>
      <c r="G42" s="60">
        <v>13.9252417127072</v>
      </c>
      <c r="H42" s="60">
        <v>8.1563373771510399</v>
      </c>
      <c r="I42" s="60">
        <v>56.1593162153641</v>
      </c>
      <c r="J42" s="60">
        <v>3.4787836370651402</v>
      </c>
      <c r="K42" s="60">
        <v>2.43054351219175</v>
      </c>
      <c r="L42" s="60">
        <v>8.8777332870554506</v>
      </c>
    </row>
    <row r="43" spans="1:12">
      <c r="A43" s="58" t="s">
        <v>272</v>
      </c>
      <c r="B43" s="58" t="s">
        <v>273</v>
      </c>
      <c r="C43" s="8">
        <v>5062100</v>
      </c>
      <c r="D43" s="8">
        <v>5553500</v>
      </c>
      <c r="E43" s="8">
        <v>6039500</v>
      </c>
      <c r="F43" s="8">
        <v>6664500</v>
      </c>
      <c r="G43" s="8">
        <v>7268000</v>
      </c>
      <c r="H43" s="8">
        <v>7841800</v>
      </c>
      <c r="I43" s="8">
        <v>7913900</v>
      </c>
      <c r="J43" s="8">
        <v>8459300</v>
      </c>
      <c r="K43" s="8">
        <v>9049300</v>
      </c>
      <c r="L43" s="8">
        <v>9923100</v>
      </c>
    </row>
    <row r="44" spans="1:12">
      <c r="A44" s="59" t="s">
        <v>234</v>
      </c>
      <c r="B44" s="59" t="s">
        <v>273</v>
      </c>
      <c r="C44" s="60">
        <v>10.48760258425</v>
      </c>
      <c r="D44" s="60">
        <v>9.7074336737717495</v>
      </c>
      <c r="E44" s="60">
        <v>8.7512379580444808</v>
      </c>
      <c r="F44" s="60">
        <v>10.348538786323401</v>
      </c>
      <c r="G44" s="60">
        <v>9.0554430189811708</v>
      </c>
      <c r="H44" s="60">
        <v>7.89488167308751</v>
      </c>
      <c r="I44" s="60">
        <v>0.91943176311560404</v>
      </c>
      <c r="J44" s="60">
        <v>6.8916716157646603</v>
      </c>
      <c r="K44" s="60">
        <v>6.9745723641436097</v>
      </c>
      <c r="L44" s="60">
        <v>9.6559954913639903</v>
      </c>
    </row>
    <row r="45" spans="1:12">
      <c r="A45" s="58" t="s">
        <v>274</v>
      </c>
      <c r="B45" s="58" t="s">
        <v>275</v>
      </c>
      <c r="C45" s="8">
        <v>318400</v>
      </c>
      <c r="D45" s="8">
        <v>312500</v>
      </c>
      <c r="E45" s="8">
        <v>1141700</v>
      </c>
      <c r="F45" s="8">
        <v>542300</v>
      </c>
      <c r="G45" s="8">
        <v>267700</v>
      </c>
      <c r="H45" s="8">
        <v>220000</v>
      </c>
      <c r="I45" s="8">
        <v>206100</v>
      </c>
      <c r="J45" s="8">
        <v>281700</v>
      </c>
      <c r="K45" s="8">
        <v>279100</v>
      </c>
      <c r="L45" s="8">
        <v>247400</v>
      </c>
    </row>
    <row r="46" spans="1:12">
      <c r="A46" s="59" t="s">
        <v>234</v>
      </c>
      <c r="B46" s="59" t="s">
        <v>275</v>
      </c>
      <c r="C46" s="60">
        <v>446.14065180102898</v>
      </c>
      <c r="D46" s="60">
        <v>-1.8530150753768799</v>
      </c>
      <c r="E46" s="60">
        <v>265.34399999999999</v>
      </c>
      <c r="F46" s="60">
        <v>-52.500656915126598</v>
      </c>
      <c r="G46" s="60">
        <v>-50.636179236584901</v>
      </c>
      <c r="H46" s="60">
        <v>-17.818453492715701</v>
      </c>
      <c r="I46" s="60">
        <v>-6.3181818181818201</v>
      </c>
      <c r="J46" s="60">
        <v>36.681222707423601</v>
      </c>
      <c r="K46" s="60">
        <v>-0.92296769613062302</v>
      </c>
      <c r="L46" s="60">
        <v>-11.3579362235758</v>
      </c>
    </row>
    <row r="47" spans="1:12">
      <c r="A47" s="58" t="s">
        <v>276</v>
      </c>
      <c r="B47" s="58" t="s">
        <v>277</v>
      </c>
      <c r="C47" s="8">
        <v>318400</v>
      </c>
      <c r="D47" s="8">
        <v>312500</v>
      </c>
      <c r="E47" s="8">
        <v>1141700</v>
      </c>
      <c r="F47" s="8">
        <v>542300</v>
      </c>
      <c r="G47" s="8">
        <v>267700</v>
      </c>
      <c r="H47" s="8">
        <v>220000</v>
      </c>
      <c r="I47" s="8">
        <v>206100</v>
      </c>
      <c r="J47" s="8">
        <v>281700</v>
      </c>
      <c r="K47" s="8">
        <v>279100</v>
      </c>
      <c r="L47" s="8">
        <v>247400</v>
      </c>
    </row>
    <row r="48" spans="1:12">
      <c r="A48" s="59" t="s">
        <v>234</v>
      </c>
      <c r="B48" s="59" t="s">
        <v>277</v>
      </c>
      <c r="C48" s="60">
        <v>446.14065180102898</v>
      </c>
      <c r="D48" s="60">
        <v>-1.8530150753768799</v>
      </c>
      <c r="E48" s="60">
        <v>265.34399999999999</v>
      </c>
      <c r="F48" s="60">
        <v>-52.500656915126598</v>
      </c>
      <c r="G48" s="60">
        <v>-50.636179236584901</v>
      </c>
      <c r="H48" s="60">
        <v>-17.818453492715701</v>
      </c>
      <c r="I48" s="60">
        <v>-6.3181818181818201</v>
      </c>
      <c r="J48" s="60">
        <v>36.681222707423601</v>
      </c>
      <c r="K48" s="60">
        <v>-0.92296769613062302</v>
      </c>
      <c r="L48" s="60">
        <v>-11.3579362235758</v>
      </c>
    </row>
    <row r="49" spans="1:12">
      <c r="A49" s="58" t="s">
        <v>278</v>
      </c>
      <c r="B49" s="58" t="s">
        <v>279</v>
      </c>
      <c r="C49" s="8">
        <v>2746800</v>
      </c>
      <c r="D49" s="8">
        <v>4044500</v>
      </c>
      <c r="E49" s="8">
        <v>3893500</v>
      </c>
      <c r="F49" s="8">
        <v>3620400</v>
      </c>
      <c r="G49" s="8">
        <v>5465400</v>
      </c>
      <c r="H49" s="8">
        <v>6914000</v>
      </c>
      <c r="I49" s="8">
        <v>6986500</v>
      </c>
      <c r="J49" s="8">
        <v>6749000</v>
      </c>
      <c r="K49" s="8">
        <v>6104500</v>
      </c>
      <c r="L49" s="8">
        <v>6095000</v>
      </c>
    </row>
    <row r="50" spans="1:12">
      <c r="A50" s="59" t="s">
        <v>234</v>
      </c>
      <c r="B50" s="59" t="s">
        <v>279</v>
      </c>
      <c r="C50" s="60">
        <v>-1.4247263592320001</v>
      </c>
      <c r="D50" s="60">
        <v>47.244065822047503</v>
      </c>
      <c r="E50" s="60">
        <v>-3.7334651996538502</v>
      </c>
      <c r="F50" s="60">
        <v>-7.0142545267753897</v>
      </c>
      <c r="G50" s="60">
        <v>50.961219754723203</v>
      </c>
      <c r="H50" s="60">
        <v>26.5049218721411</v>
      </c>
      <c r="I50" s="60">
        <v>1.04859704946485</v>
      </c>
      <c r="J50" s="60">
        <v>-3.3994131539397401</v>
      </c>
      <c r="K50" s="60">
        <v>-9.5495628982071405</v>
      </c>
      <c r="L50" s="60">
        <v>-0.15562290113850399</v>
      </c>
    </row>
    <row r="51" spans="1:12">
      <c r="A51" s="58" t="s">
        <v>280</v>
      </c>
      <c r="B51" s="58" t="s">
        <v>281</v>
      </c>
      <c r="C51" s="8">
        <v>1129700</v>
      </c>
      <c r="D51" s="8">
        <v>2095800</v>
      </c>
      <c r="E51" s="8">
        <v>2235900</v>
      </c>
      <c r="F51" s="8">
        <v>1980600</v>
      </c>
      <c r="G51" s="8">
        <v>4583800</v>
      </c>
      <c r="H51" s="8">
        <v>4272600</v>
      </c>
      <c r="I51" s="8">
        <v>4149300</v>
      </c>
      <c r="J51" s="8">
        <v>4027200</v>
      </c>
      <c r="K51" s="8">
        <v>3439400</v>
      </c>
      <c r="L51" s="8">
        <v>3338800</v>
      </c>
    </row>
    <row r="52" spans="1:12">
      <c r="A52" s="59" t="s">
        <v>234</v>
      </c>
      <c r="B52" s="59" t="s">
        <v>281</v>
      </c>
      <c r="C52" s="60">
        <v>-0.70317306847147798</v>
      </c>
      <c r="D52" s="60">
        <v>85.518279189165298</v>
      </c>
      <c r="E52" s="60">
        <v>6.6847981677640904</v>
      </c>
      <c r="F52" s="60">
        <v>-11.4182208506642</v>
      </c>
      <c r="G52" s="60">
        <v>131.43491871150201</v>
      </c>
      <c r="H52" s="60">
        <v>-6.7891269252585102</v>
      </c>
      <c r="I52" s="60">
        <v>-2.8858306417638002</v>
      </c>
      <c r="J52" s="60">
        <v>-2.9426650278360298</v>
      </c>
      <c r="K52" s="60">
        <v>-14.595748907429501</v>
      </c>
      <c r="L52" s="60">
        <v>-2.9249287666453401</v>
      </c>
    </row>
    <row r="53" spans="1:12">
      <c r="A53" s="59" t="s">
        <v>282</v>
      </c>
      <c r="B53" s="59" t="s">
        <v>283</v>
      </c>
      <c r="C53" s="60">
        <v>856200</v>
      </c>
      <c r="D53" s="60">
        <v>1575400</v>
      </c>
      <c r="E53" s="60">
        <v>1719600</v>
      </c>
      <c r="F53" s="60">
        <v>1539200</v>
      </c>
      <c r="G53" s="60">
        <v>3541600</v>
      </c>
      <c r="H53" s="60">
        <v>3490800</v>
      </c>
      <c r="I53" s="60">
        <v>3597200</v>
      </c>
      <c r="J53" s="60">
        <v>3677300</v>
      </c>
      <c r="K53" s="60">
        <v>3283500</v>
      </c>
      <c r="L53" s="60">
        <v>3218300</v>
      </c>
    </row>
    <row r="54" spans="1:12">
      <c r="A54" s="56" t="s">
        <v>284</v>
      </c>
      <c r="B54" s="56"/>
      <c r="C54" s="61">
        <v>856200</v>
      </c>
      <c r="D54" s="61">
        <v>1575400</v>
      </c>
      <c r="E54" s="61">
        <v>1719600</v>
      </c>
      <c r="F54" s="61">
        <v>1539200</v>
      </c>
      <c r="G54" s="61">
        <v>543700</v>
      </c>
      <c r="H54" s="61">
        <v>3490800</v>
      </c>
      <c r="I54" s="61">
        <v>3597200</v>
      </c>
      <c r="J54" s="61">
        <v>3677300</v>
      </c>
      <c r="K54" s="61">
        <v>3283500</v>
      </c>
      <c r="L54" s="61">
        <v>3218300</v>
      </c>
    </row>
    <row r="55" spans="1:12">
      <c r="A55" s="58" t="s">
        <v>285</v>
      </c>
      <c r="B55" s="58"/>
      <c r="C55" s="8" t="s">
        <v>261</v>
      </c>
      <c r="D55" s="8" t="s">
        <v>261</v>
      </c>
      <c r="E55" s="8" t="s">
        <v>261</v>
      </c>
      <c r="F55" s="8">
        <v>892700</v>
      </c>
      <c r="G55" s="8" t="s">
        <v>261</v>
      </c>
      <c r="H55" s="8">
        <v>2963100</v>
      </c>
      <c r="I55" s="8">
        <v>3065000</v>
      </c>
      <c r="J55" s="8">
        <v>3148300</v>
      </c>
      <c r="K55" s="8">
        <v>2756700</v>
      </c>
      <c r="L55" s="8">
        <v>2691100</v>
      </c>
    </row>
    <row r="56" spans="1:12">
      <c r="A56" s="58" t="s">
        <v>286</v>
      </c>
      <c r="B56" s="58"/>
      <c r="C56" s="8">
        <v>219000</v>
      </c>
      <c r="D56" s="8">
        <v>211200</v>
      </c>
      <c r="E56" s="8">
        <v>210100</v>
      </c>
      <c r="F56" s="8">
        <v>211600</v>
      </c>
      <c r="G56" s="8">
        <v>497400</v>
      </c>
      <c r="H56" s="8">
        <v>492000</v>
      </c>
      <c r="I56" s="8">
        <v>496500</v>
      </c>
      <c r="J56" s="8">
        <v>493200</v>
      </c>
      <c r="K56" s="8">
        <v>491100</v>
      </c>
      <c r="L56" s="8">
        <v>491500</v>
      </c>
    </row>
    <row r="57" spans="1:12">
      <c r="A57" s="58" t="s">
        <v>287</v>
      </c>
      <c r="B57" s="58"/>
      <c r="C57" s="8">
        <v>23800</v>
      </c>
      <c r="D57" s="8">
        <v>23800</v>
      </c>
      <c r="E57" s="8">
        <v>30200</v>
      </c>
      <c r="F57" s="8">
        <v>30200</v>
      </c>
      <c r="G57" s="8">
        <v>34700</v>
      </c>
      <c r="H57" s="8">
        <v>34700</v>
      </c>
      <c r="I57" s="8">
        <v>34700</v>
      </c>
      <c r="J57" s="8">
        <v>34700</v>
      </c>
      <c r="K57" s="8">
        <v>34700</v>
      </c>
      <c r="L57" s="8">
        <v>34700</v>
      </c>
    </row>
    <row r="58" spans="1:12">
      <c r="A58" s="58" t="s">
        <v>288</v>
      </c>
      <c r="B58" s="58"/>
      <c r="C58" s="8">
        <v>479400</v>
      </c>
      <c r="D58" s="8">
        <v>478900</v>
      </c>
      <c r="E58" s="8">
        <v>479300</v>
      </c>
      <c r="F58" s="8">
        <v>404700</v>
      </c>
      <c r="G58" s="8">
        <v>11600</v>
      </c>
      <c r="H58" s="8">
        <v>1000</v>
      </c>
      <c r="I58" s="8">
        <v>1000</v>
      </c>
      <c r="J58" s="8">
        <v>1100</v>
      </c>
      <c r="K58" s="8">
        <v>1000</v>
      </c>
      <c r="L58" s="8">
        <v>1000</v>
      </c>
    </row>
    <row r="59" spans="1:12">
      <c r="A59" s="58" t="s">
        <v>289</v>
      </c>
      <c r="B59" s="58"/>
      <c r="C59" s="8">
        <v>74900</v>
      </c>
      <c r="D59" s="8">
        <v>804100</v>
      </c>
      <c r="E59" s="8">
        <v>944900</v>
      </c>
      <c r="F59" s="8" t="s">
        <v>261</v>
      </c>
      <c r="G59" s="8" t="s">
        <v>261</v>
      </c>
      <c r="H59" s="8" t="s">
        <v>261</v>
      </c>
      <c r="I59" s="8" t="s">
        <v>261</v>
      </c>
      <c r="J59" s="8" t="s">
        <v>261</v>
      </c>
      <c r="K59" s="8" t="s">
        <v>261</v>
      </c>
      <c r="L59" s="8" t="s">
        <v>261</v>
      </c>
    </row>
    <row r="60" spans="1:12">
      <c r="A60" s="58" t="s">
        <v>290</v>
      </c>
      <c r="B60" s="58"/>
      <c r="C60" s="8">
        <v>59100</v>
      </c>
      <c r="D60" s="8">
        <v>57400</v>
      </c>
      <c r="E60" s="8">
        <v>55100</v>
      </c>
      <c r="F60" s="8" t="s">
        <v>261</v>
      </c>
      <c r="G60" s="8" t="s">
        <v>261</v>
      </c>
      <c r="H60" s="8" t="s">
        <v>261</v>
      </c>
      <c r="I60" s="8" t="s">
        <v>261</v>
      </c>
      <c r="J60" s="8" t="s">
        <v>261</v>
      </c>
      <c r="K60" s="8" t="s">
        <v>261</v>
      </c>
      <c r="L60" s="8" t="s">
        <v>261</v>
      </c>
    </row>
    <row r="61" spans="1:12">
      <c r="A61" s="59" t="s">
        <v>234</v>
      </c>
      <c r="B61" s="59" t="s">
        <v>283</v>
      </c>
      <c r="C61" s="60">
        <v>-0.77645150075326597</v>
      </c>
      <c r="D61" s="60">
        <v>83.999065638869396</v>
      </c>
      <c r="E61" s="60">
        <v>9.1532309254792299</v>
      </c>
      <c r="F61" s="60">
        <v>-10.4908118167016</v>
      </c>
      <c r="G61" s="60">
        <v>130.09355509355501</v>
      </c>
      <c r="H61" s="60">
        <v>-1.43437994126948</v>
      </c>
      <c r="I61" s="60">
        <v>3.04801191703906</v>
      </c>
      <c r="J61" s="60">
        <v>2.22673190259091</v>
      </c>
      <c r="K61" s="60">
        <v>-10.708944062219601</v>
      </c>
      <c r="L61" s="60">
        <v>-1.9856860057865</v>
      </c>
    </row>
    <row r="62" spans="1:12">
      <c r="A62" s="59" t="s">
        <v>291</v>
      </c>
      <c r="B62" s="59" t="s">
        <v>292</v>
      </c>
      <c r="C62" s="60">
        <v>273500</v>
      </c>
      <c r="D62" s="60">
        <v>520400</v>
      </c>
      <c r="E62" s="60">
        <v>516300</v>
      </c>
      <c r="F62" s="60">
        <v>441400</v>
      </c>
      <c r="G62" s="60">
        <v>1042200</v>
      </c>
      <c r="H62" s="60">
        <v>781800</v>
      </c>
      <c r="I62" s="60">
        <v>552100</v>
      </c>
      <c r="J62" s="60">
        <v>349900</v>
      </c>
      <c r="K62" s="60">
        <v>155900</v>
      </c>
      <c r="L62" s="60">
        <v>120500</v>
      </c>
    </row>
    <row r="63" spans="1:12">
      <c r="A63" s="59" t="s">
        <v>234</v>
      </c>
      <c r="B63" s="59" t="s">
        <v>292</v>
      </c>
      <c r="C63" s="60">
        <v>-0.47307132459971302</v>
      </c>
      <c r="D63" s="60">
        <v>90.274223034734902</v>
      </c>
      <c r="E63" s="60">
        <v>-0.78785549577248704</v>
      </c>
      <c r="F63" s="60">
        <v>-14.5070695332171</v>
      </c>
      <c r="G63" s="60">
        <v>136.11236973266901</v>
      </c>
      <c r="H63" s="60">
        <v>-24.9856073690271</v>
      </c>
      <c r="I63" s="60">
        <v>-29.380915835252001</v>
      </c>
      <c r="J63" s="60">
        <v>-36.623800036225298</v>
      </c>
      <c r="K63" s="60">
        <v>-55.444412689339799</v>
      </c>
      <c r="L63" s="60">
        <v>-22.706863373957699</v>
      </c>
    </row>
    <row r="64" spans="1:12">
      <c r="A64" s="58" t="s">
        <v>259</v>
      </c>
      <c r="B64" s="58" t="s">
        <v>293</v>
      </c>
      <c r="C64" s="8">
        <v>903300</v>
      </c>
      <c r="D64" s="8">
        <v>1180800</v>
      </c>
      <c r="E64" s="8">
        <v>885400</v>
      </c>
      <c r="F64" s="8">
        <v>795400</v>
      </c>
      <c r="G64" s="8">
        <v>134700</v>
      </c>
      <c r="H64" s="8">
        <v>1765800</v>
      </c>
      <c r="I64" s="8">
        <v>1789900</v>
      </c>
      <c r="J64" s="8">
        <v>1874800</v>
      </c>
      <c r="K64" s="8">
        <v>1799700</v>
      </c>
      <c r="L64" s="8">
        <v>1769800</v>
      </c>
    </row>
    <row r="65" spans="1:12">
      <c r="A65" s="59" t="s">
        <v>234</v>
      </c>
      <c r="B65" s="59" t="s">
        <v>293</v>
      </c>
      <c r="C65" s="60">
        <v>-6.5873836608066201</v>
      </c>
      <c r="D65" s="60">
        <v>30.720690800398501</v>
      </c>
      <c r="E65" s="60">
        <v>-25.016937669376698</v>
      </c>
      <c r="F65" s="60">
        <v>-10.164897221594799</v>
      </c>
      <c r="G65" s="60">
        <v>-83.065124465677698</v>
      </c>
      <c r="H65" s="60">
        <v>1210.9131403117999</v>
      </c>
      <c r="I65" s="60">
        <v>1.3648204779703299</v>
      </c>
      <c r="J65" s="60">
        <v>4.7432817475836604</v>
      </c>
      <c r="K65" s="60">
        <v>-4.0057606144655402</v>
      </c>
      <c r="L65" s="60">
        <v>-1.6613880091126301</v>
      </c>
    </row>
    <row r="66" spans="1:12">
      <c r="A66" s="58" t="s">
        <v>257</v>
      </c>
      <c r="B66" s="58" t="s">
        <v>294</v>
      </c>
      <c r="C66" s="8">
        <v>0</v>
      </c>
      <c r="D66" s="8">
        <v>54700</v>
      </c>
      <c r="E66" s="8">
        <v>6400</v>
      </c>
      <c r="F66" s="8">
        <v>13400</v>
      </c>
      <c r="G66" s="8">
        <v>24500</v>
      </c>
      <c r="H66" s="8">
        <v>26300</v>
      </c>
      <c r="I66" s="8">
        <v>87300</v>
      </c>
      <c r="J66" s="8">
        <v>84300</v>
      </c>
      <c r="K66" s="8">
        <v>156200</v>
      </c>
      <c r="L66" s="8">
        <v>153000</v>
      </c>
    </row>
    <row r="67" spans="1:12">
      <c r="A67" s="59" t="s">
        <v>234</v>
      </c>
      <c r="B67" s="59" t="s">
        <v>294</v>
      </c>
      <c r="C67" s="60" t="s">
        <v>261</v>
      </c>
      <c r="D67" s="60" t="s">
        <v>261</v>
      </c>
      <c r="E67" s="60">
        <v>-88.299817184643501</v>
      </c>
      <c r="F67" s="60">
        <v>109.375</v>
      </c>
      <c r="G67" s="60">
        <v>82.835820895522403</v>
      </c>
      <c r="H67" s="60">
        <v>7.3469387755102096</v>
      </c>
      <c r="I67" s="60">
        <v>231.93916349809899</v>
      </c>
      <c r="J67" s="60">
        <v>-3.43642611683849</v>
      </c>
      <c r="K67" s="60">
        <v>85.290628706998802</v>
      </c>
      <c r="L67" s="60">
        <v>-2.0486555697823201</v>
      </c>
    </row>
    <row r="68" spans="1:12">
      <c r="A68" s="58" t="s">
        <v>295</v>
      </c>
      <c r="B68" s="58" t="s">
        <v>296</v>
      </c>
      <c r="C68" s="8">
        <v>514900</v>
      </c>
      <c r="D68" s="8">
        <v>352000</v>
      </c>
      <c r="E68" s="8">
        <v>354500</v>
      </c>
      <c r="F68" s="8">
        <v>481600</v>
      </c>
      <c r="G68" s="8">
        <v>334700</v>
      </c>
      <c r="H68" s="8">
        <v>396000</v>
      </c>
      <c r="I68" s="8">
        <v>478700</v>
      </c>
      <c r="J68" s="8">
        <v>268500</v>
      </c>
      <c r="K68" s="8">
        <v>311200</v>
      </c>
      <c r="L68" s="8">
        <v>439900</v>
      </c>
    </row>
    <row r="69" spans="1:12">
      <c r="A69" s="59" t="s">
        <v>234</v>
      </c>
      <c r="B69" s="59" t="s">
        <v>296</v>
      </c>
      <c r="C69" s="60">
        <v>3.7059415911379601</v>
      </c>
      <c r="D69" s="60">
        <v>-31.637211108953199</v>
      </c>
      <c r="E69" s="60">
        <v>0.71022727272727304</v>
      </c>
      <c r="F69" s="60">
        <v>35.8533145275035</v>
      </c>
      <c r="G69" s="60">
        <v>-30.502491694352202</v>
      </c>
      <c r="H69" s="60">
        <v>18.314908873618201</v>
      </c>
      <c r="I69" s="60">
        <v>20.883838383838398</v>
      </c>
      <c r="J69" s="60">
        <v>-43.9105911844579</v>
      </c>
      <c r="K69" s="60">
        <v>15.903165735568001</v>
      </c>
      <c r="L69" s="60">
        <v>41.3560411311054</v>
      </c>
    </row>
    <row r="70" spans="1:12">
      <c r="A70" s="58" t="s">
        <v>297</v>
      </c>
      <c r="B70" s="58" t="s">
        <v>298</v>
      </c>
      <c r="C70" s="8">
        <v>198900</v>
      </c>
      <c r="D70" s="8">
        <v>361200</v>
      </c>
      <c r="E70" s="8">
        <v>411300</v>
      </c>
      <c r="F70" s="8">
        <v>349400</v>
      </c>
      <c r="G70" s="8">
        <v>387700</v>
      </c>
      <c r="H70" s="8">
        <v>453300</v>
      </c>
      <c r="I70" s="8">
        <v>481300</v>
      </c>
      <c r="J70" s="8">
        <v>494200</v>
      </c>
      <c r="K70" s="8">
        <v>398000</v>
      </c>
      <c r="L70" s="8">
        <v>393500</v>
      </c>
    </row>
    <row r="71" spans="1:12">
      <c r="A71" s="59" t="s">
        <v>234</v>
      </c>
      <c r="B71" s="59" t="s">
        <v>298</v>
      </c>
      <c r="C71" s="60">
        <v>7.3394495412843996</v>
      </c>
      <c r="D71" s="60">
        <v>81.598793363499198</v>
      </c>
      <c r="E71" s="60">
        <v>13.8704318936877</v>
      </c>
      <c r="F71" s="60">
        <v>-15.0498419645028</v>
      </c>
      <c r="G71" s="60">
        <v>10.961648540354901</v>
      </c>
      <c r="H71" s="60">
        <v>16.9202992004127</v>
      </c>
      <c r="I71" s="60">
        <v>6.1769247738804296</v>
      </c>
      <c r="J71" s="60">
        <v>2.6802410139206301</v>
      </c>
      <c r="K71" s="60">
        <v>-19.465803318494501</v>
      </c>
      <c r="L71" s="60">
        <v>-1.13065326633166</v>
      </c>
    </row>
    <row r="72" spans="1:12">
      <c r="A72" s="56" t="s">
        <v>299</v>
      </c>
      <c r="B72" s="56" t="s">
        <v>300</v>
      </c>
      <c r="C72" s="61">
        <v>6584200</v>
      </c>
      <c r="D72" s="61">
        <v>8445300</v>
      </c>
      <c r="E72" s="61">
        <v>9569000</v>
      </c>
      <c r="F72" s="61">
        <v>9082200</v>
      </c>
      <c r="G72" s="61">
        <v>11662200</v>
      </c>
      <c r="H72" s="61">
        <v>13565700</v>
      </c>
      <c r="I72" s="61">
        <v>21568100</v>
      </c>
      <c r="J72" s="61">
        <v>21636200</v>
      </c>
      <c r="K72" s="61">
        <v>20959700</v>
      </c>
      <c r="L72" s="61">
        <v>22142100</v>
      </c>
    </row>
    <row r="73" spans="1:12">
      <c r="A73" s="59" t="s">
        <v>234</v>
      </c>
      <c r="B73" s="59" t="s">
        <v>300</v>
      </c>
      <c r="C73" s="60">
        <v>8.9143632243230204</v>
      </c>
      <c r="D73" s="60">
        <v>28.266152304000499</v>
      </c>
      <c r="E73" s="60">
        <v>13.305625614247001</v>
      </c>
      <c r="F73" s="60">
        <v>-5.0872609468073904</v>
      </c>
      <c r="G73" s="60">
        <v>28.4072141111184</v>
      </c>
      <c r="H73" s="60">
        <v>16.321963265936098</v>
      </c>
      <c r="I73" s="60">
        <v>58.989952601045303</v>
      </c>
      <c r="J73" s="60">
        <v>0.315744085014453</v>
      </c>
      <c r="K73" s="60">
        <v>-3.1267043196125002</v>
      </c>
      <c r="L73" s="60">
        <v>5.6413021178738099</v>
      </c>
    </row>
    <row r="74" spans="1:12">
      <c r="A74" s="56" t="s">
        <v>98</v>
      </c>
      <c r="B74" s="56" t="s">
        <v>301</v>
      </c>
      <c r="C74" s="61">
        <v>10752900</v>
      </c>
      <c r="D74" s="61">
        <v>12416300</v>
      </c>
      <c r="E74" s="61">
        <v>14329500</v>
      </c>
      <c r="F74" s="61">
        <v>14365600</v>
      </c>
      <c r="G74" s="61">
        <v>24156400</v>
      </c>
      <c r="H74" s="61">
        <v>19219600</v>
      </c>
      <c r="I74" s="61">
        <v>29374500</v>
      </c>
      <c r="J74" s="61">
        <v>31392600</v>
      </c>
      <c r="K74" s="61">
        <v>27978400</v>
      </c>
      <c r="L74" s="61">
        <v>29445500</v>
      </c>
    </row>
    <row r="75" spans="1:12">
      <c r="A75" s="56" t="s">
        <v>284</v>
      </c>
      <c r="B75" s="56"/>
      <c r="C75" s="61">
        <v>10752900</v>
      </c>
      <c r="D75" s="61">
        <v>12416300</v>
      </c>
      <c r="E75" s="61">
        <v>14312500</v>
      </c>
      <c r="F75" s="61">
        <v>14365600</v>
      </c>
      <c r="G75" s="61">
        <v>17936500</v>
      </c>
      <c r="H75" s="61">
        <v>19219600</v>
      </c>
      <c r="I75" s="61">
        <v>29374500</v>
      </c>
      <c r="J75" s="61">
        <v>31392600</v>
      </c>
      <c r="K75" s="61">
        <v>27978400</v>
      </c>
      <c r="L75" s="61">
        <v>29445500</v>
      </c>
    </row>
    <row r="76" spans="1:12">
      <c r="A76" s="58" t="s">
        <v>286</v>
      </c>
      <c r="B76" s="58"/>
      <c r="C76" s="8">
        <v>2521400</v>
      </c>
      <c r="D76" s="8">
        <v>2726700</v>
      </c>
      <c r="E76" s="8">
        <v>3424600</v>
      </c>
      <c r="F76" s="8">
        <v>3374900</v>
      </c>
      <c r="G76" s="8">
        <v>4380900</v>
      </c>
      <c r="H76" s="8">
        <v>4446700</v>
      </c>
      <c r="I76" s="8">
        <v>10717400</v>
      </c>
      <c r="J76" s="8">
        <v>10571800</v>
      </c>
      <c r="K76" s="8">
        <v>10029900</v>
      </c>
      <c r="L76" s="8">
        <v>10869100</v>
      </c>
    </row>
    <row r="77" spans="1:12">
      <c r="A77" s="58" t="s">
        <v>288</v>
      </c>
      <c r="B77" s="58"/>
      <c r="C77" s="8">
        <v>825200</v>
      </c>
      <c r="D77" s="8">
        <v>1785300</v>
      </c>
      <c r="E77" s="8">
        <v>7513400</v>
      </c>
      <c r="F77" s="8">
        <v>7744500</v>
      </c>
      <c r="G77" s="8">
        <v>13407400</v>
      </c>
      <c r="H77" s="8">
        <v>7916100</v>
      </c>
      <c r="I77" s="8">
        <v>9042400</v>
      </c>
      <c r="J77" s="8">
        <v>10612100</v>
      </c>
      <c r="K77" s="8">
        <v>9215200</v>
      </c>
      <c r="L77" s="8">
        <v>10342300</v>
      </c>
    </row>
    <row r="78" spans="1:12">
      <c r="A78" s="58" t="s">
        <v>285</v>
      </c>
      <c r="B78" s="58"/>
      <c r="C78" s="8" t="s">
        <v>261</v>
      </c>
      <c r="D78" s="8" t="s">
        <v>261</v>
      </c>
      <c r="E78" s="8" t="s">
        <v>261</v>
      </c>
      <c r="F78" s="8">
        <v>3117100</v>
      </c>
      <c r="G78" s="8" t="s">
        <v>261</v>
      </c>
      <c r="H78" s="8">
        <v>6724600</v>
      </c>
      <c r="I78" s="8">
        <v>9449700</v>
      </c>
      <c r="J78" s="8">
        <v>10083300</v>
      </c>
      <c r="K78" s="8">
        <v>8602800</v>
      </c>
      <c r="L78" s="8">
        <v>8045300</v>
      </c>
    </row>
    <row r="79" spans="1:12">
      <c r="A79" s="58" t="s">
        <v>287</v>
      </c>
      <c r="B79" s="58"/>
      <c r="C79" s="8">
        <v>84600</v>
      </c>
      <c r="D79" s="8">
        <v>87300</v>
      </c>
      <c r="E79" s="8">
        <v>82200</v>
      </c>
      <c r="F79" s="8">
        <v>129100</v>
      </c>
      <c r="G79" s="8">
        <v>148200</v>
      </c>
      <c r="H79" s="8">
        <v>132200</v>
      </c>
      <c r="I79" s="8">
        <v>165000</v>
      </c>
      <c r="J79" s="8">
        <v>125400</v>
      </c>
      <c r="K79" s="8">
        <v>130500</v>
      </c>
      <c r="L79" s="8">
        <v>188800</v>
      </c>
    </row>
    <row r="80" spans="1:12">
      <c r="A80" s="58" t="s">
        <v>289</v>
      </c>
      <c r="B80" s="58"/>
      <c r="C80" s="8">
        <v>939800</v>
      </c>
      <c r="D80" s="8">
        <v>2230500</v>
      </c>
      <c r="E80" s="8">
        <v>2740200</v>
      </c>
      <c r="F80" s="8" t="s">
        <v>261</v>
      </c>
      <c r="G80" s="8" t="s">
        <v>261</v>
      </c>
      <c r="H80" s="8" t="s">
        <v>261</v>
      </c>
      <c r="I80" s="8" t="s">
        <v>261</v>
      </c>
      <c r="J80" s="8" t="s">
        <v>261</v>
      </c>
      <c r="K80" s="8" t="s">
        <v>261</v>
      </c>
      <c r="L80" s="8" t="s">
        <v>261</v>
      </c>
    </row>
    <row r="81" spans="1:12">
      <c r="A81" s="58" t="s">
        <v>290</v>
      </c>
      <c r="B81" s="58"/>
      <c r="C81" s="8">
        <v>663000</v>
      </c>
      <c r="D81" s="8">
        <v>749100</v>
      </c>
      <c r="E81" s="8">
        <v>552100</v>
      </c>
      <c r="F81" s="8" t="s">
        <v>261</v>
      </c>
      <c r="G81" s="8" t="s">
        <v>261</v>
      </c>
      <c r="H81" s="8" t="s">
        <v>261</v>
      </c>
      <c r="I81" s="8" t="s">
        <v>261</v>
      </c>
      <c r="J81" s="8" t="s">
        <v>261</v>
      </c>
      <c r="K81" s="8" t="s">
        <v>261</v>
      </c>
      <c r="L81" s="8" t="s">
        <v>261</v>
      </c>
    </row>
    <row r="82" spans="1:12">
      <c r="A82" s="58" t="s">
        <v>302</v>
      </c>
      <c r="B82" s="58"/>
      <c r="C82" s="8">
        <v>5718900</v>
      </c>
      <c r="D82" s="8">
        <v>4837400</v>
      </c>
      <c r="E82" s="8" t="s">
        <v>261</v>
      </c>
      <c r="F82" s="8" t="s">
        <v>261</v>
      </c>
      <c r="G82" s="8" t="s">
        <v>261</v>
      </c>
      <c r="H82" s="8" t="s">
        <v>261</v>
      </c>
      <c r="I82" s="8" t="s">
        <v>261</v>
      </c>
      <c r="J82" s="8" t="s">
        <v>261</v>
      </c>
      <c r="K82" s="8" t="s">
        <v>261</v>
      </c>
      <c r="L82" s="8" t="s">
        <v>261</v>
      </c>
    </row>
    <row r="83" spans="1:12">
      <c r="A83" s="59" t="s">
        <v>234</v>
      </c>
      <c r="B83" s="59" t="s">
        <v>301</v>
      </c>
      <c r="C83" s="60">
        <v>-6.6321081559821904</v>
      </c>
      <c r="D83" s="60">
        <v>15.4693152544895</v>
      </c>
      <c r="E83" s="60">
        <v>15.408777171943299</v>
      </c>
      <c r="F83" s="60">
        <v>0.25192784116682598</v>
      </c>
      <c r="G83" s="60">
        <v>68.154480147017907</v>
      </c>
      <c r="H83" s="60">
        <v>-20.4368200559686</v>
      </c>
      <c r="I83" s="60">
        <v>52.836167245936501</v>
      </c>
      <c r="J83" s="60">
        <v>6.8702445999080801</v>
      </c>
      <c r="K83" s="60">
        <v>-10.875811496977001</v>
      </c>
      <c r="L83" s="60">
        <v>5.2436879878763598</v>
      </c>
    </row>
    <row r="84" spans="1:12">
      <c r="A84" s="56"/>
      <c r="B84" s="57"/>
      <c r="C84" s="57"/>
      <c r="D84" s="57"/>
      <c r="E84" s="57"/>
      <c r="F84" s="57"/>
      <c r="G84" s="57"/>
      <c r="H84" s="57"/>
      <c r="I84" s="57"/>
      <c r="J84" s="57"/>
      <c r="K84" s="57"/>
      <c r="L84" s="57"/>
    </row>
    <row r="85" spans="1:12">
      <c r="A85" s="56" t="s">
        <v>303</v>
      </c>
      <c r="B85" s="57"/>
      <c r="C85" s="57"/>
      <c r="D85" s="57"/>
      <c r="E85" s="57"/>
      <c r="F85" s="57"/>
      <c r="G85" s="57"/>
      <c r="H85" s="57"/>
      <c r="I85" s="57"/>
      <c r="J85" s="57"/>
      <c r="K85" s="57"/>
      <c r="L85" s="57"/>
    </row>
    <row r="86" spans="1:12">
      <c r="A86" s="58" t="s">
        <v>304</v>
      </c>
      <c r="B86" s="58" t="s">
        <v>305</v>
      </c>
      <c r="C86" s="8">
        <v>2045700</v>
      </c>
      <c r="D86" s="8">
        <v>2420300</v>
      </c>
      <c r="E86" s="8">
        <v>2711700</v>
      </c>
      <c r="F86" s="8">
        <v>2700600</v>
      </c>
      <c r="G86" s="8">
        <v>3684900</v>
      </c>
      <c r="H86" s="8">
        <v>4894000</v>
      </c>
      <c r="I86" s="8">
        <v>2945500</v>
      </c>
      <c r="J86" s="8">
        <v>4296500</v>
      </c>
      <c r="K86" s="8">
        <v>4458400</v>
      </c>
      <c r="L86" s="8">
        <v>4514100</v>
      </c>
    </row>
    <row r="87" spans="1:12">
      <c r="A87" s="59" t="s">
        <v>234</v>
      </c>
      <c r="B87" s="59" t="s">
        <v>305</v>
      </c>
      <c r="C87" s="60">
        <v>-54.803146126994001</v>
      </c>
      <c r="D87" s="60">
        <v>18.311580388131201</v>
      </c>
      <c r="E87" s="60">
        <v>12.0398297731686</v>
      </c>
      <c r="F87" s="60">
        <v>-0.40933731607478402</v>
      </c>
      <c r="G87" s="60">
        <v>36.447456120862</v>
      </c>
      <c r="H87" s="60">
        <v>32.812287986105503</v>
      </c>
      <c r="I87" s="60">
        <v>-39.8140580302411</v>
      </c>
      <c r="J87" s="60">
        <v>45.866576133084401</v>
      </c>
      <c r="K87" s="60">
        <v>3.7681834050971599</v>
      </c>
      <c r="L87" s="60">
        <v>1.24932711286562</v>
      </c>
    </row>
    <row r="88" spans="1:12">
      <c r="A88" s="58" t="s">
        <v>306</v>
      </c>
      <c r="B88" s="58" t="s">
        <v>307</v>
      </c>
      <c r="C88" s="8">
        <v>533700</v>
      </c>
      <c r="D88" s="8">
        <v>684200</v>
      </c>
      <c r="E88" s="8">
        <v>730600</v>
      </c>
      <c r="F88" s="8">
        <v>782500</v>
      </c>
      <c r="G88" s="8">
        <v>1179300</v>
      </c>
      <c r="H88" s="8">
        <v>1189700</v>
      </c>
      <c r="I88" s="8">
        <v>997900</v>
      </c>
      <c r="J88" s="8">
        <v>1211600</v>
      </c>
      <c r="K88" s="8">
        <v>1441400</v>
      </c>
      <c r="L88" s="8">
        <v>1544300</v>
      </c>
    </row>
    <row r="89" spans="1:12">
      <c r="A89" s="59" t="s">
        <v>234</v>
      </c>
      <c r="B89" s="59" t="s">
        <v>307</v>
      </c>
      <c r="C89" s="60">
        <v>8.5417937766931207</v>
      </c>
      <c r="D89" s="60">
        <v>28.199362937980101</v>
      </c>
      <c r="E89" s="60">
        <v>6.7816427945045303</v>
      </c>
      <c r="F89" s="60">
        <v>7.1037503421845001</v>
      </c>
      <c r="G89" s="60">
        <v>50.709265175718798</v>
      </c>
      <c r="H89" s="60">
        <v>0.88187908081065802</v>
      </c>
      <c r="I89" s="60">
        <v>-16.121711355803999</v>
      </c>
      <c r="J89" s="60">
        <v>21.414971440024001</v>
      </c>
      <c r="K89" s="60">
        <v>18.966655661934599</v>
      </c>
      <c r="L89" s="60">
        <v>7.1388927431663598</v>
      </c>
    </row>
    <row r="90" spans="1:12">
      <c r="A90" s="58" t="s">
        <v>308</v>
      </c>
      <c r="B90" s="58" t="s">
        <v>309</v>
      </c>
      <c r="C90" s="8">
        <v>272000</v>
      </c>
      <c r="D90" s="8">
        <v>259000</v>
      </c>
      <c r="E90" s="8">
        <v>368400</v>
      </c>
      <c r="F90" s="8">
        <v>226600</v>
      </c>
      <c r="G90" s="8">
        <v>286600</v>
      </c>
      <c r="H90" s="8">
        <v>1468400</v>
      </c>
      <c r="I90" s="8">
        <v>260900</v>
      </c>
      <c r="J90" s="8">
        <v>566000</v>
      </c>
      <c r="K90" s="8">
        <v>333800</v>
      </c>
      <c r="L90" s="8">
        <v>212700</v>
      </c>
    </row>
    <row r="91" spans="1:12">
      <c r="A91" s="59" t="s">
        <v>234</v>
      </c>
      <c r="B91" s="59" t="s">
        <v>309</v>
      </c>
      <c r="C91" s="60">
        <v>117.6</v>
      </c>
      <c r="D91" s="60">
        <v>-4.7794117647058796</v>
      </c>
      <c r="E91" s="60">
        <v>42.239382239382202</v>
      </c>
      <c r="F91" s="60">
        <v>-38.490770901194402</v>
      </c>
      <c r="G91" s="60">
        <v>26.4783759929391</v>
      </c>
      <c r="H91" s="60">
        <v>412.35170969992998</v>
      </c>
      <c r="I91" s="60">
        <v>-82.232361754290395</v>
      </c>
      <c r="J91" s="60">
        <v>116.941356841702</v>
      </c>
      <c r="K91" s="60">
        <v>-41.024734982332198</v>
      </c>
      <c r="L91" s="60">
        <v>-36.279209107249898</v>
      </c>
    </row>
    <row r="92" spans="1:12">
      <c r="A92" s="58" t="s">
        <v>310</v>
      </c>
      <c r="B92" s="58" t="s">
        <v>311</v>
      </c>
      <c r="C92" s="8">
        <v>0</v>
      </c>
      <c r="D92" s="8">
        <v>0</v>
      </c>
      <c r="E92" s="8">
        <v>0</v>
      </c>
      <c r="F92" s="8">
        <v>0</v>
      </c>
      <c r="G92" s="8">
        <v>445400</v>
      </c>
      <c r="H92" s="8">
        <v>485700</v>
      </c>
      <c r="I92" s="8">
        <v>0</v>
      </c>
      <c r="J92" s="8">
        <v>578100</v>
      </c>
      <c r="K92" s="8">
        <v>608300</v>
      </c>
      <c r="L92" s="8">
        <v>651200</v>
      </c>
    </row>
    <row r="93" spans="1:12">
      <c r="A93" s="59" t="s">
        <v>234</v>
      </c>
      <c r="B93" s="59" t="s">
        <v>311</v>
      </c>
      <c r="C93" s="60" t="s">
        <v>261</v>
      </c>
      <c r="D93" s="60" t="s">
        <v>261</v>
      </c>
      <c r="E93" s="60" t="s">
        <v>261</v>
      </c>
      <c r="F93" s="60" t="s">
        <v>261</v>
      </c>
      <c r="G93" s="60" t="s">
        <v>261</v>
      </c>
      <c r="H93" s="60">
        <v>9.0480466995958704</v>
      </c>
      <c r="I93" s="60" t="s">
        <v>261</v>
      </c>
      <c r="J93" s="60" t="s">
        <v>261</v>
      </c>
      <c r="K93" s="60">
        <v>5.2240096869053696</v>
      </c>
      <c r="L93" s="60">
        <v>7.0524412296564396</v>
      </c>
    </row>
    <row r="94" spans="1:12">
      <c r="A94" s="58" t="s">
        <v>312</v>
      </c>
      <c r="B94" s="58" t="s">
        <v>313</v>
      </c>
      <c r="C94" s="8">
        <v>1240000</v>
      </c>
      <c r="D94" s="8">
        <v>1477100</v>
      </c>
      <c r="E94" s="8">
        <v>1612700</v>
      </c>
      <c r="F94" s="8">
        <v>1691500</v>
      </c>
      <c r="G94" s="8">
        <v>1773600</v>
      </c>
      <c r="H94" s="8">
        <v>1750200</v>
      </c>
      <c r="I94" s="8">
        <v>1686700</v>
      </c>
      <c r="J94" s="8">
        <v>1940800</v>
      </c>
      <c r="K94" s="8">
        <v>2074900</v>
      </c>
      <c r="L94" s="8">
        <v>2105900</v>
      </c>
    </row>
    <row r="95" spans="1:12">
      <c r="A95" s="59" t="s">
        <v>234</v>
      </c>
      <c r="B95" s="59" t="s">
        <v>313</v>
      </c>
      <c r="C95" s="60">
        <v>-66.610119288041602</v>
      </c>
      <c r="D95" s="60">
        <v>19.120967741935502</v>
      </c>
      <c r="E95" s="60">
        <v>9.1801502944959807</v>
      </c>
      <c r="F95" s="60">
        <v>4.8862156631735596</v>
      </c>
      <c r="G95" s="60">
        <v>4.8536801655335404</v>
      </c>
      <c r="H95" s="60">
        <v>-1.31935047361298</v>
      </c>
      <c r="I95" s="60">
        <v>-3.6281567820820499</v>
      </c>
      <c r="J95" s="60">
        <v>15.0649196656193</v>
      </c>
      <c r="K95" s="60">
        <v>6.9095218466611801</v>
      </c>
      <c r="L95" s="60">
        <v>1.4940479059231799</v>
      </c>
    </row>
    <row r="96" spans="1:12">
      <c r="A96" s="58" t="s">
        <v>314</v>
      </c>
      <c r="B96" s="58" t="s">
        <v>315</v>
      </c>
      <c r="C96" s="8">
        <v>0</v>
      </c>
      <c r="D96" s="8">
        <v>0</v>
      </c>
      <c r="E96" s="8">
        <v>400000</v>
      </c>
      <c r="F96" s="8">
        <v>0</v>
      </c>
      <c r="G96" s="8">
        <v>349900</v>
      </c>
      <c r="H96" s="8">
        <v>0</v>
      </c>
      <c r="I96" s="8">
        <v>2937500</v>
      </c>
      <c r="J96" s="8">
        <v>2250200</v>
      </c>
      <c r="K96" s="8">
        <v>3169700</v>
      </c>
      <c r="L96" s="8">
        <v>3127400</v>
      </c>
    </row>
    <row r="97" spans="1:12">
      <c r="A97" s="59" t="s">
        <v>234</v>
      </c>
      <c r="B97" s="59" t="s">
        <v>315</v>
      </c>
      <c r="C97" s="60" t="s">
        <v>261</v>
      </c>
      <c r="D97" s="60" t="s">
        <v>261</v>
      </c>
      <c r="E97" s="60" t="s">
        <v>261</v>
      </c>
      <c r="F97" s="60" t="s">
        <v>261</v>
      </c>
      <c r="G97" s="60" t="s">
        <v>261</v>
      </c>
      <c r="H97" s="60" t="s">
        <v>261</v>
      </c>
      <c r="I97" s="60" t="s">
        <v>261</v>
      </c>
      <c r="J97" s="60">
        <v>-23.397446808510601</v>
      </c>
      <c r="K97" s="60">
        <v>40.863034396942503</v>
      </c>
      <c r="L97" s="60">
        <v>-1.33451115247499</v>
      </c>
    </row>
    <row r="98" spans="1:12">
      <c r="A98" s="58" t="s">
        <v>316</v>
      </c>
      <c r="B98" s="58" t="s">
        <v>317</v>
      </c>
      <c r="C98" s="8">
        <v>0</v>
      </c>
      <c r="D98" s="8">
        <v>0</v>
      </c>
      <c r="E98" s="8">
        <v>0</v>
      </c>
      <c r="F98" s="8">
        <v>0</v>
      </c>
      <c r="G98" s="8">
        <v>0</v>
      </c>
      <c r="H98" s="8">
        <v>0</v>
      </c>
      <c r="I98" s="8">
        <v>438800</v>
      </c>
      <c r="J98" s="8">
        <v>0</v>
      </c>
      <c r="K98" s="8">
        <v>175000</v>
      </c>
      <c r="L98" s="8">
        <v>33500</v>
      </c>
    </row>
    <row r="99" spans="1:12">
      <c r="A99" s="59" t="s">
        <v>234</v>
      </c>
      <c r="B99" s="59" t="s">
        <v>317</v>
      </c>
      <c r="C99" s="60" t="s">
        <v>261</v>
      </c>
      <c r="D99" s="60" t="s">
        <v>261</v>
      </c>
      <c r="E99" s="60" t="s">
        <v>261</v>
      </c>
      <c r="F99" s="60" t="s">
        <v>261</v>
      </c>
      <c r="G99" s="60" t="s">
        <v>261</v>
      </c>
      <c r="H99" s="60" t="s">
        <v>261</v>
      </c>
      <c r="I99" s="60" t="s">
        <v>261</v>
      </c>
      <c r="J99" s="60" t="s">
        <v>261</v>
      </c>
      <c r="K99" s="60" t="s">
        <v>261</v>
      </c>
      <c r="L99" s="60">
        <v>-80.857142857142904</v>
      </c>
    </row>
    <row r="100" spans="1:12">
      <c r="A100" s="58" t="s">
        <v>318</v>
      </c>
      <c r="B100" s="58" t="s">
        <v>319</v>
      </c>
      <c r="C100" s="8">
        <v>0</v>
      </c>
      <c r="D100" s="8" t="s">
        <v>261</v>
      </c>
      <c r="E100" s="8" t="s">
        <v>261</v>
      </c>
      <c r="F100" s="8" t="s">
        <v>261</v>
      </c>
      <c r="G100" s="8" t="s">
        <v>261</v>
      </c>
      <c r="H100" s="8" t="s">
        <v>261</v>
      </c>
      <c r="I100" s="8">
        <v>1248800</v>
      </c>
      <c r="J100" s="8">
        <v>1251300</v>
      </c>
      <c r="K100" s="8">
        <v>1245700</v>
      </c>
      <c r="L100" s="8">
        <v>1275300</v>
      </c>
    </row>
    <row r="101" spans="1:12">
      <c r="A101" s="59" t="s">
        <v>234</v>
      </c>
      <c r="B101" s="59" t="s">
        <v>319</v>
      </c>
      <c r="C101" s="60" t="s">
        <v>261</v>
      </c>
      <c r="D101" s="60" t="s">
        <v>261</v>
      </c>
      <c r="E101" s="60" t="s">
        <v>261</v>
      </c>
      <c r="F101" s="60" t="s">
        <v>261</v>
      </c>
      <c r="G101" s="60" t="s">
        <v>261</v>
      </c>
      <c r="H101" s="60" t="s">
        <v>261</v>
      </c>
      <c r="I101" s="60" t="s">
        <v>261</v>
      </c>
      <c r="J101" s="60">
        <v>0.20019218449711701</v>
      </c>
      <c r="K101" s="60">
        <v>-0.44753456405337699</v>
      </c>
      <c r="L101" s="60">
        <v>2.3761740386931001</v>
      </c>
    </row>
    <row r="102" spans="1:12">
      <c r="A102" s="59" t="s">
        <v>320</v>
      </c>
      <c r="B102" s="59" t="s">
        <v>321</v>
      </c>
      <c r="C102" s="60">
        <v>0</v>
      </c>
      <c r="D102" s="60" t="s">
        <v>261</v>
      </c>
      <c r="E102" s="60" t="s">
        <v>261</v>
      </c>
      <c r="F102" s="60" t="s">
        <v>261</v>
      </c>
      <c r="G102" s="60" t="s">
        <v>261</v>
      </c>
      <c r="H102" s="60" t="s">
        <v>261</v>
      </c>
      <c r="I102" s="60">
        <v>0</v>
      </c>
      <c r="J102" s="60">
        <v>0</v>
      </c>
      <c r="K102" s="60">
        <v>0</v>
      </c>
      <c r="L102" s="60">
        <v>0</v>
      </c>
    </row>
    <row r="103" spans="1:12">
      <c r="A103" s="59" t="s">
        <v>322</v>
      </c>
      <c r="B103" s="59" t="s">
        <v>323</v>
      </c>
      <c r="C103" s="60" t="s">
        <v>261</v>
      </c>
      <c r="D103" s="60" t="s">
        <v>261</v>
      </c>
      <c r="E103" s="60" t="s">
        <v>261</v>
      </c>
      <c r="F103" s="60" t="s">
        <v>261</v>
      </c>
      <c r="G103" s="60" t="s">
        <v>261</v>
      </c>
      <c r="H103" s="60" t="s">
        <v>261</v>
      </c>
      <c r="I103" s="60">
        <v>1248800</v>
      </c>
      <c r="J103" s="60">
        <v>1251300</v>
      </c>
      <c r="K103" s="60">
        <v>1245700</v>
      </c>
      <c r="L103" s="60">
        <v>1275300</v>
      </c>
    </row>
    <row r="104" spans="1:12">
      <c r="A104" s="59" t="s">
        <v>234</v>
      </c>
      <c r="B104" s="59" t="s">
        <v>323</v>
      </c>
      <c r="C104" s="60" t="s">
        <v>261</v>
      </c>
      <c r="D104" s="60" t="s">
        <v>261</v>
      </c>
      <c r="E104" s="60" t="s">
        <v>261</v>
      </c>
      <c r="F104" s="60" t="s">
        <v>261</v>
      </c>
      <c r="G104" s="60" t="s">
        <v>261</v>
      </c>
      <c r="H104" s="60" t="s">
        <v>261</v>
      </c>
      <c r="I104" s="60" t="s">
        <v>261</v>
      </c>
      <c r="J104" s="60">
        <v>0.20019218449711701</v>
      </c>
      <c r="K104" s="60">
        <v>-0.44753456405337699</v>
      </c>
      <c r="L104" s="60">
        <v>2.3761740386931001</v>
      </c>
    </row>
    <row r="105" spans="1:12">
      <c r="A105" s="58" t="s">
        <v>324</v>
      </c>
      <c r="B105" s="58" t="s">
        <v>325</v>
      </c>
      <c r="C105" s="8" t="s">
        <v>261</v>
      </c>
      <c r="D105" s="8">
        <v>0</v>
      </c>
      <c r="E105" s="8">
        <v>400000</v>
      </c>
      <c r="F105" s="8">
        <v>0</v>
      </c>
      <c r="G105" s="8">
        <v>349900</v>
      </c>
      <c r="H105" s="8">
        <v>0</v>
      </c>
      <c r="I105" s="8">
        <v>1249900</v>
      </c>
      <c r="J105" s="8">
        <v>998900</v>
      </c>
      <c r="K105" s="8">
        <v>1749000</v>
      </c>
      <c r="L105" s="8">
        <v>1818600</v>
      </c>
    </row>
    <row r="106" spans="1:12">
      <c r="A106" s="59" t="s">
        <v>234</v>
      </c>
      <c r="B106" s="59" t="s">
        <v>325</v>
      </c>
      <c r="C106" s="60" t="s">
        <v>261</v>
      </c>
      <c r="D106" s="60" t="s">
        <v>261</v>
      </c>
      <c r="E106" s="60" t="s">
        <v>261</v>
      </c>
      <c r="F106" s="60" t="s">
        <v>261</v>
      </c>
      <c r="G106" s="60" t="s">
        <v>261</v>
      </c>
      <c r="H106" s="60" t="s">
        <v>261</v>
      </c>
      <c r="I106" s="60" t="s">
        <v>261</v>
      </c>
      <c r="J106" s="60">
        <v>-20.0816065285223</v>
      </c>
      <c r="K106" s="60">
        <v>75.092601862048298</v>
      </c>
      <c r="L106" s="60">
        <v>3.9794168096054801</v>
      </c>
    </row>
    <row r="107" spans="1:12">
      <c r="A107" s="58" t="s">
        <v>326</v>
      </c>
      <c r="B107" s="58" t="s">
        <v>327</v>
      </c>
      <c r="C107" s="8">
        <v>993000</v>
      </c>
      <c r="D107" s="8">
        <v>1227800</v>
      </c>
      <c r="E107" s="8">
        <v>1435200</v>
      </c>
      <c r="F107" s="8">
        <v>1520100</v>
      </c>
      <c r="G107" s="8">
        <v>1649400</v>
      </c>
      <c r="H107" s="8">
        <v>1274700</v>
      </c>
      <c r="I107" s="8">
        <v>1463800</v>
      </c>
      <c r="J107" s="8">
        <v>1604700</v>
      </c>
      <c r="K107" s="8">
        <v>1523700</v>
      </c>
      <c r="L107" s="8">
        <v>1703800</v>
      </c>
    </row>
    <row r="108" spans="1:12">
      <c r="A108" s="59" t="s">
        <v>234</v>
      </c>
      <c r="B108" s="59" t="s">
        <v>327</v>
      </c>
      <c r="C108" s="60">
        <v>16.672541416989802</v>
      </c>
      <c r="D108" s="60">
        <v>23.645518630412901</v>
      </c>
      <c r="E108" s="60">
        <v>16.892001954715798</v>
      </c>
      <c r="F108" s="60">
        <v>5.9155518394648698</v>
      </c>
      <c r="G108" s="60">
        <v>8.5060193408328502</v>
      </c>
      <c r="H108" s="60">
        <v>-22.7173517642779</v>
      </c>
      <c r="I108" s="60">
        <v>14.834863105044301</v>
      </c>
      <c r="J108" s="60">
        <v>9.6256319169285494</v>
      </c>
      <c r="K108" s="60">
        <v>-5.0476724621424598</v>
      </c>
      <c r="L108" s="60">
        <v>11.819912056179</v>
      </c>
    </row>
    <row r="109" spans="1:12">
      <c r="A109" s="58" t="s">
        <v>328</v>
      </c>
      <c r="B109" s="58" t="s">
        <v>329</v>
      </c>
      <c r="C109" s="8">
        <v>794500</v>
      </c>
      <c r="D109" s="8">
        <v>983800</v>
      </c>
      <c r="E109" s="8">
        <v>1171200</v>
      </c>
      <c r="F109" s="8">
        <v>1288500</v>
      </c>
      <c r="G109" s="8">
        <v>1642900</v>
      </c>
      <c r="H109" s="8">
        <v>1269000</v>
      </c>
      <c r="I109" s="8">
        <v>1456500</v>
      </c>
      <c r="J109" s="8">
        <v>1596100</v>
      </c>
      <c r="K109" s="8">
        <v>1502700</v>
      </c>
      <c r="L109" s="8">
        <v>1700200</v>
      </c>
    </row>
    <row r="110" spans="1:12">
      <c r="A110" s="59" t="s">
        <v>234</v>
      </c>
      <c r="B110" s="59" t="s">
        <v>329</v>
      </c>
      <c r="C110" s="60">
        <v>21.538932231910699</v>
      </c>
      <c r="D110" s="60">
        <v>23.826305852737601</v>
      </c>
      <c r="E110" s="60">
        <v>19.048587111201499</v>
      </c>
      <c r="F110" s="60">
        <v>10.015368852459</v>
      </c>
      <c r="G110" s="60">
        <v>27.504850601474601</v>
      </c>
      <c r="H110" s="60">
        <v>-22.7585367338243</v>
      </c>
      <c r="I110" s="60">
        <v>14.7754137115839</v>
      </c>
      <c r="J110" s="60">
        <v>9.5846206659800792</v>
      </c>
      <c r="K110" s="60">
        <v>-5.8517636739552596</v>
      </c>
      <c r="L110" s="60">
        <v>13.1430092500166</v>
      </c>
    </row>
    <row r="111" spans="1:12">
      <c r="A111" s="58" t="s">
        <v>330</v>
      </c>
      <c r="B111" s="58" t="s">
        <v>331</v>
      </c>
      <c r="C111" s="8">
        <v>2400</v>
      </c>
      <c r="D111" s="8">
        <v>19200</v>
      </c>
      <c r="E111" s="8">
        <v>18000</v>
      </c>
      <c r="F111" s="8">
        <v>16400</v>
      </c>
      <c r="G111" s="8">
        <v>6500</v>
      </c>
      <c r="H111" s="8">
        <v>5700</v>
      </c>
      <c r="I111" s="8">
        <v>7300</v>
      </c>
      <c r="J111" s="8">
        <v>8600</v>
      </c>
      <c r="K111" s="8">
        <v>21000</v>
      </c>
      <c r="L111" s="8">
        <v>3600</v>
      </c>
    </row>
    <row r="112" spans="1:12">
      <c r="A112" s="59" t="s">
        <v>234</v>
      </c>
      <c r="B112" s="59" t="s">
        <v>331</v>
      </c>
      <c r="C112" s="60">
        <v>-87.301587301587304</v>
      </c>
      <c r="D112" s="60">
        <v>700</v>
      </c>
      <c r="E112" s="60">
        <v>-6.25</v>
      </c>
      <c r="F112" s="60">
        <v>-8.8888888888888999</v>
      </c>
      <c r="G112" s="60">
        <v>-60.365853658536601</v>
      </c>
      <c r="H112" s="60">
        <v>-12.307692307692299</v>
      </c>
      <c r="I112" s="60">
        <v>28.0701754385965</v>
      </c>
      <c r="J112" s="60">
        <v>17.808219178082201</v>
      </c>
      <c r="K112" s="60">
        <v>144.18604651162801</v>
      </c>
      <c r="L112" s="60">
        <v>-82.857142857142804</v>
      </c>
    </row>
    <row r="113" spans="1:12">
      <c r="A113" s="58" t="s">
        <v>332</v>
      </c>
      <c r="B113" s="58" t="s">
        <v>333</v>
      </c>
      <c r="C113" s="8">
        <v>196100</v>
      </c>
      <c r="D113" s="8">
        <v>224800</v>
      </c>
      <c r="E113" s="8">
        <v>246000</v>
      </c>
      <c r="F113" s="8">
        <v>215200</v>
      </c>
      <c r="G113" s="8">
        <v>0</v>
      </c>
      <c r="H113" s="8">
        <v>0</v>
      </c>
      <c r="I113" s="8">
        <v>0</v>
      </c>
      <c r="J113" s="8">
        <v>0</v>
      </c>
      <c r="K113" s="8">
        <v>0</v>
      </c>
      <c r="L113" s="8">
        <v>0</v>
      </c>
    </row>
    <row r="114" spans="1:12">
      <c r="A114" s="59" t="s">
        <v>234</v>
      </c>
      <c r="B114" s="59" t="s">
        <v>333</v>
      </c>
      <c r="C114" s="60">
        <v>9.8599439775910298</v>
      </c>
      <c r="D114" s="60">
        <v>14.635390107088201</v>
      </c>
      <c r="E114" s="60">
        <v>9.4306049822064004</v>
      </c>
      <c r="F114" s="60">
        <v>-12.520325203252</v>
      </c>
      <c r="G114" s="60" t="s">
        <v>261</v>
      </c>
      <c r="H114" s="60" t="s">
        <v>261</v>
      </c>
      <c r="I114" s="60" t="s">
        <v>261</v>
      </c>
      <c r="J114" s="60" t="s">
        <v>261</v>
      </c>
      <c r="K114" s="60" t="s">
        <v>261</v>
      </c>
      <c r="L114" s="60" t="s">
        <v>261</v>
      </c>
    </row>
    <row r="115" spans="1:12">
      <c r="A115" s="56" t="s">
        <v>334</v>
      </c>
      <c r="B115" s="56" t="s">
        <v>335</v>
      </c>
      <c r="C115" s="61">
        <v>3038700</v>
      </c>
      <c r="D115" s="61">
        <v>3648100</v>
      </c>
      <c r="E115" s="61">
        <v>4546900</v>
      </c>
      <c r="F115" s="61">
        <v>4220700</v>
      </c>
      <c r="G115" s="61">
        <v>5684200</v>
      </c>
      <c r="H115" s="61">
        <v>6168700</v>
      </c>
      <c r="I115" s="61">
        <v>7346800</v>
      </c>
      <c r="J115" s="61">
        <v>8151400</v>
      </c>
      <c r="K115" s="61">
        <v>9151800</v>
      </c>
      <c r="L115" s="61">
        <v>9345300</v>
      </c>
    </row>
    <row r="116" spans="1:12">
      <c r="A116" s="59" t="s">
        <v>234</v>
      </c>
      <c r="B116" s="59" t="s">
        <v>335</v>
      </c>
      <c r="C116" s="60">
        <v>-43.4902274375616</v>
      </c>
      <c r="D116" s="60">
        <v>20.054628624082699</v>
      </c>
      <c r="E116" s="60">
        <v>24.637482525150102</v>
      </c>
      <c r="F116" s="60">
        <v>-7.1741186302755704</v>
      </c>
      <c r="G116" s="60">
        <v>34.674343118440099</v>
      </c>
      <c r="H116" s="60">
        <v>8.5236268956053607</v>
      </c>
      <c r="I116" s="60">
        <v>19.098027136998098</v>
      </c>
      <c r="J116" s="60">
        <v>10.951706865574099</v>
      </c>
      <c r="K116" s="60">
        <v>12.272738425301201</v>
      </c>
      <c r="L116" s="60">
        <v>2.1143381629843301</v>
      </c>
    </row>
    <row r="117" spans="1:12">
      <c r="A117" s="58" t="s">
        <v>336</v>
      </c>
      <c r="B117" s="58" t="s">
        <v>337</v>
      </c>
      <c r="C117" s="8">
        <v>2048300</v>
      </c>
      <c r="D117" s="8">
        <v>2347500</v>
      </c>
      <c r="E117" s="8">
        <v>3202200</v>
      </c>
      <c r="F117" s="8">
        <v>3932600</v>
      </c>
      <c r="G117" s="8">
        <v>9090200</v>
      </c>
      <c r="H117" s="8">
        <v>11167000</v>
      </c>
      <c r="I117" s="8">
        <v>22321300</v>
      </c>
      <c r="J117" s="8">
        <v>21354900</v>
      </c>
      <c r="K117" s="8">
        <v>20635100</v>
      </c>
      <c r="L117" s="8">
        <v>21472400</v>
      </c>
    </row>
    <row r="118" spans="1:12">
      <c r="A118" s="59" t="s">
        <v>234</v>
      </c>
      <c r="B118" s="59" t="s">
        <v>337</v>
      </c>
      <c r="C118" s="60">
        <v>57.634292750500201</v>
      </c>
      <c r="D118" s="60">
        <v>14.6072352682712</v>
      </c>
      <c r="E118" s="60">
        <v>36.4089456869009</v>
      </c>
      <c r="F118" s="60">
        <v>22.809318593467001</v>
      </c>
      <c r="G118" s="60">
        <v>131.14987540049799</v>
      </c>
      <c r="H118" s="60">
        <v>22.846582033398601</v>
      </c>
      <c r="I118" s="60">
        <v>99.886272051580505</v>
      </c>
      <c r="J118" s="60">
        <v>-4.3294969379023502</v>
      </c>
      <c r="K118" s="60">
        <v>-3.3706549784826998</v>
      </c>
      <c r="L118" s="60">
        <v>4.05764934504802</v>
      </c>
    </row>
    <row r="119" spans="1:12">
      <c r="A119" s="58" t="s">
        <v>338</v>
      </c>
      <c r="B119" s="58" t="s">
        <v>339</v>
      </c>
      <c r="C119" s="8">
        <v>2048300</v>
      </c>
      <c r="D119" s="8">
        <v>2347500</v>
      </c>
      <c r="E119" s="8">
        <v>3202200</v>
      </c>
      <c r="F119" s="8">
        <v>3932600</v>
      </c>
      <c r="G119" s="8">
        <v>9090200</v>
      </c>
      <c r="H119" s="8">
        <v>11167000</v>
      </c>
      <c r="I119" s="8">
        <v>14659600</v>
      </c>
      <c r="J119" s="8">
        <v>13616900</v>
      </c>
      <c r="K119" s="8">
        <v>13119900</v>
      </c>
      <c r="L119" s="8">
        <v>13547600</v>
      </c>
    </row>
    <row r="120" spans="1:12">
      <c r="A120" s="59" t="s">
        <v>234</v>
      </c>
      <c r="B120" s="59" t="s">
        <v>339</v>
      </c>
      <c r="C120" s="60">
        <v>57.634292750500201</v>
      </c>
      <c r="D120" s="60">
        <v>14.6072352682712</v>
      </c>
      <c r="E120" s="60">
        <v>36.4089456869009</v>
      </c>
      <c r="F120" s="60">
        <v>22.809318593467001</v>
      </c>
      <c r="G120" s="60">
        <v>131.14987540049799</v>
      </c>
      <c r="H120" s="60">
        <v>22.846582033398601</v>
      </c>
      <c r="I120" s="60">
        <v>31.276081311005601</v>
      </c>
      <c r="J120" s="60">
        <v>-7.1127452317935003</v>
      </c>
      <c r="K120" s="60">
        <v>-3.6498762567104102</v>
      </c>
      <c r="L120" s="60">
        <v>3.2599333836386002</v>
      </c>
    </row>
    <row r="121" spans="1:12">
      <c r="A121" s="58" t="s">
        <v>340</v>
      </c>
      <c r="B121" s="58" t="s">
        <v>341</v>
      </c>
      <c r="C121" s="8">
        <v>0</v>
      </c>
      <c r="D121" s="8" t="s">
        <v>261</v>
      </c>
      <c r="E121" s="8" t="s">
        <v>261</v>
      </c>
      <c r="F121" s="8" t="s">
        <v>261</v>
      </c>
      <c r="G121" s="8" t="s">
        <v>261</v>
      </c>
      <c r="H121" s="8" t="s">
        <v>261</v>
      </c>
      <c r="I121" s="8">
        <v>7661700</v>
      </c>
      <c r="J121" s="8">
        <v>7738000</v>
      </c>
      <c r="K121" s="8">
        <v>7515200</v>
      </c>
      <c r="L121" s="8">
        <v>7924800</v>
      </c>
    </row>
    <row r="122" spans="1:12">
      <c r="A122" s="59" t="s">
        <v>234</v>
      </c>
      <c r="B122" s="59" t="s">
        <v>341</v>
      </c>
      <c r="C122" s="60" t="s">
        <v>261</v>
      </c>
      <c r="D122" s="60" t="s">
        <v>261</v>
      </c>
      <c r="E122" s="60" t="s">
        <v>261</v>
      </c>
      <c r="F122" s="60" t="s">
        <v>261</v>
      </c>
      <c r="G122" s="60" t="s">
        <v>261</v>
      </c>
      <c r="H122" s="60" t="s">
        <v>261</v>
      </c>
      <c r="I122" s="60" t="s">
        <v>261</v>
      </c>
      <c r="J122" s="60">
        <v>0.99586253703486405</v>
      </c>
      <c r="K122" s="60">
        <v>-2.87929697596278</v>
      </c>
      <c r="L122" s="60">
        <v>5.4502874175005402</v>
      </c>
    </row>
    <row r="123" spans="1:12">
      <c r="A123" s="59" t="s">
        <v>342</v>
      </c>
      <c r="B123" s="59" t="s">
        <v>343</v>
      </c>
      <c r="C123" s="60">
        <v>0</v>
      </c>
      <c r="D123" s="60" t="s">
        <v>261</v>
      </c>
      <c r="E123" s="60" t="s">
        <v>261</v>
      </c>
      <c r="F123" s="60" t="s">
        <v>261</v>
      </c>
      <c r="G123" s="60" t="s">
        <v>261</v>
      </c>
      <c r="H123" s="60" t="s">
        <v>261</v>
      </c>
      <c r="I123" s="60">
        <v>0</v>
      </c>
      <c r="J123" s="60">
        <v>0</v>
      </c>
      <c r="K123" s="60">
        <v>0</v>
      </c>
      <c r="L123" s="60">
        <v>0</v>
      </c>
    </row>
    <row r="124" spans="1:12">
      <c r="A124" s="59" t="s">
        <v>344</v>
      </c>
      <c r="B124" s="59" t="s">
        <v>345</v>
      </c>
      <c r="C124" s="60" t="s">
        <v>261</v>
      </c>
      <c r="D124" s="60" t="s">
        <v>261</v>
      </c>
      <c r="E124" s="60" t="s">
        <v>261</v>
      </c>
      <c r="F124" s="60" t="s">
        <v>261</v>
      </c>
      <c r="G124" s="60" t="s">
        <v>261</v>
      </c>
      <c r="H124" s="60" t="s">
        <v>261</v>
      </c>
      <c r="I124" s="60">
        <v>7661700</v>
      </c>
      <c r="J124" s="60">
        <v>7738000</v>
      </c>
      <c r="K124" s="60">
        <v>7515200</v>
      </c>
      <c r="L124" s="60">
        <v>7924800</v>
      </c>
    </row>
    <row r="125" spans="1:12">
      <c r="A125" s="59" t="s">
        <v>234</v>
      </c>
      <c r="B125" s="59" t="s">
        <v>345</v>
      </c>
      <c r="C125" s="60" t="s">
        <v>261</v>
      </c>
      <c r="D125" s="60" t="s">
        <v>261</v>
      </c>
      <c r="E125" s="60" t="s">
        <v>261</v>
      </c>
      <c r="F125" s="60" t="s">
        <v>261</v>
      </c>
      <c r="G125" s="60" t="s">
        <v>261</v>
      </c>
      <c r="H125" s="60" t="s">
        <v>261</v>
      </c>
      <c r="I125" s="60" t="s">
        <v>261</v>
      </c>
      <c r="J125" s="60">
        <v>0.99586253703486405</v>
      </c>
      <c r="K125" s="60">
        <v>-2.87929697596278</v>
      </c>
      <c r="L125" s="60">
        <v>5.4502874175005402</v>
      </c>
    </row>
    <row r="126" spans="1:12">
      <c r="A126" s="58" t="s">
        <v>346</v>
      </c>
      <c r="B126" s="58" t="s">
        <v>347</v>
      </c>
      <c r="C126" s="8">
        <v>392200</v>
      </c>
      <c r="D126" s="8">
        <v>600900</v>
      </c>
      <c r="E126" s="8">
        <v>689700</v>
      </c>
      <c r="F126" s="8">
        <v>755300</v>
      </c>
      <c r="G126" s="8">
        <v>8206200</v>
      </c>
      <c r="H126" s="8">
        <v>8114900</v>
      </c>
      <c r="I126" s="8">
        <v>7505800</v>
      </c>
      <c r="J126" s="8">
        <v>7200800</v>
      </c>
      <c r="K126" s="8">
        <v>6890200</v>
      </c>
      <c r="L126" s="8">
        <v>6615600</v>
      </c>
    </row>
    <row r="127" spans="1:12">
      <c r="A127" s="59" t="s">
        <v>234</v>
      </c>
      <c r="B127" s="59" t="s">
        <v>347</v>
      </c>
      <c r="C127" s="60">
        <v>9.6449538719597392</v>
      </c>
      <c r="D127" s="60">
        <v>53.212646608873001</v>
      </c>
      <c r="E127" s="60">
        <v>14.7778332501248</v>
      </c>
      <c r="F127" s="60">
        <v>9.5113817601855697</v>
      </c>
      <c r="G127" s="60">
        <v>986.48219250628904</v>
      </c>
      <c r="H127" s="60">
        <v>-1.1125734200970101</v>
      </c>
      <c r="I127" s="60">
        <v>-7.5059458526907203</v>
      </c>
      <c r="J127" s="60">
        <v>-4.0635242079458598</v>
      </c>
      <c r="K127" s="60">
        <v>-4.3134096211532098</v>
      </c>
      <c r="L127" s="60">
        <v>-3.9853705262546701</v>
      </c>
    </row>
    <row r="128" spans="1:12">
      <c r="A128" s="58" t="s">
        <v>348</v>
      </c>
      <c r="B128" s="58" t="s">
        <v>349</v>
      </c>
      <c r="C128" s="8">
        <v>0</v>
      </c>
      <c r="D128" s="8">
        <v>0</v>
      </c>
      <c r="E128" s="8">
        <v>0</v>
      </c>
      <c r="F128" s="8">
        <v>0</v>
      </c>
      <c r="G128" s="8">
        <v>0</v>
      </c>
      <c r="H128" s="8">
        <v>0</v>
      </c>
      <c r="I128" s="8">
        <v>0</v>
      </c>
      <c r="J128" s="8">
        <v>0</v>
      </c>
      <c r="K128" s="8">
        <v>0</v>
      </c>
      <c r="L128" s="8">
        <v>0</v>
      </c>
    </row>
    <row r="129" spans="1:12">
      <c r="A129" s="58" t="s">
        <v>350</v>
      </c>
      <c r="B129" s="58" t="s">
        <v>351</v>
      </c>
      <c r="C129" s="8">
        <v>0</v>
      </c>
      <c r="D129" s="8">
        <v>0</v>
      </c>
      <c r="E129" s="8">
        <v>0</v>
      </c>
      <c r="F129" s="8">
        <v>0</v>
      </c>
      <c r="G129" s="8">
        <v>0</v>
      </c>
      <c r="H129" s="8">
        <v>0</v>
      </c>
      <c r="I129" s="8">
        <v>0</v>
      </c>
      <c r="J129" s="8">
        <v>0</v>
      </c>
      <c r="K129" s="8">
        <v>0</v>
      </c>
      <c r="L129" s="8">
        <v>0</v>
      </c>
    </row>
    <row r="130" spans="1:12">
      <c r="A130" s="59" t="s">
        <v>352</v>
      </c>
      <c r="B130" s="59" t="s">
        <v>353</v>
      </c>
      <c r="C130" s="60">
        <v>0</v>
      </c>
      <c r="D130" s="60">
        <v>0</v>
      </c>
      <c r="E130" s="60">
        <v>0</v>
      </c>
      <c r="F130" s="60">
        <v>0</v>
      </c>
      <c r="G130" s="60">
        <v>0</v>
      </c>
      <c r="H130" s="60">
        <v>0</v>
      </c>
      <c r="I130" s="60">
        <v>0</v>
      </c>
      <c r="J130" s="60">
        <v>0</v>
      </c>
      <c r="K130" s="60">
        <v>0</v>
      </c>
      <c r="L130" s="60">
        <v>0</v>
      </c>
    </row>
    <row r="131" spans="1:12">
      <c r="A131" s="59" t="s">
        <v>354</v>
      </c>
      <c r="B131" s="59" t="s">
        <v>355</v>
      </c>
      <c r="C131" s="60">
        <v>0</v>
      </c>
      <c r="D131" s="60">
        <v>0</v>
      </c>
      <c r="E131" s="60">
        <v>0</v>
      </c>
      <c r="F131" s="60">
        <v>0</v>
      </c>
      <c r="G131" s="60">
        <v>0</v>
      </c>
      <c r="H131" s="60">
        <v>0</v>
      </c>
      <c r="I131" s="60">
        <v>0</v>
      </c>
      <c r="J131" s="60">
        <v>0</v>
      </c>
      <c r="K131" s="60">
        <v>0</v>
      </c>
      <c r="L131" s="60">
        <v>0</v>
      </c>
    </row>
    <row r="132" spans="1:12">
      <c r="A132" s="58" t="s">
        <v>328</v>
      </c>
      <c r="B132" s="58" t="s">
        <v>356</v>
      </c>
      <c r="C132" s="8">
        <v>0</v>
      </c>
      <c r="D132" s="8">
        <v>0</v>
      </c>
      <c r="E132" s="8">
        <v>0</v>
      </c>
      <c r="F132" s="8">
        <v>4400</v>
      </c>
      <c r="G132" s="8">
        <v>6775700</v>
      </c>
      <c r="H132" s="8">
        <v>6744400</v>
      </c>
      <c r="I132" s="8">
        <v>6598500</v>
      </c>
      <c r="J132" s="8">
        <v>6463000</v>
      </c>
      <c r="K132" s="8">
        <v>6279700</v>
      </c>
      <c r="L132" s="8">
        <v>6101800</v>
      </c>
    </row>
    <row r="133" spans="1:12">
      <c r="A133" s="59" t="s">
        <v>234</v>
      </c>
      <c r="B133" s="59" t="s">
        <v>356</v>
      </c>
      <c r="C133" s="60" t="s">
        <v>261</v>
      </c>
      <c r="D133" s="60" t="s">
        <v>261</v>
      </c>
      <c r="E133" s="60" t="s">
        <v>261</v>
      </c>
      <c r="F133" s="60" t="s">
        <v>261</v>
      </c>
      <c r="G133" s="60">
        <v>153893.181818182</v>
      </c>
      <c r="H133" s="60">
        <v>-0.46194489130274602</v>
      </c>
      <c r="I133" s="60">
        <v>-2.1632761995136698</v>
      </c>
      <c r="J133" s="60">
        <v>-2.0534970068955101</v>
      </c>
      <c r="K133" s="60">
        <v>-2.83614420547734</v>
      </c>
      <c r="L133" s="60">
        <v>-2.8329378791980502</v>
      </c>
    </row>
    <row r="134" spans="1:12">
      <c r="A134" s="58" t="s">
        <v>357</v>
      </c>
      <c r="B134" s="58" t="s">
        <v>358</v>
      </c>
      <c r="C134" s="8">
        <v>6900</v>
      </c>
      <c r="D134" s="8">
        <v>43400</v>
      </c>
      <c r="E134" s="8" t="s">
        <v>261</v>
      </c>
      <c r="F134" s="8" t="s">
        <v>261</v>
      </c>
      <c r="G134" s="8" t="s">
        <v>261</v>
      </c>
      <c r="H134" s="8" t="s">
        <v>261</v>
      </c>
      <c r="I134" s="8" t="s">
        <v>261</v>
      </c>
      <c r="J134" s="8" t="s">
        <v>261</v>
      </c>
      <c r="K134" s="8" t="s">
        <v>261</v>
      </c>
      <c r="L134" s="8" t="s">
        <v>261</v>
      </c>
    </row>
    <row r="135" spans="1:12">
      <c r="A135" s="59" t="s">
        <v>234</v>
      </c>
      <c r="B135" s="59" t="s">
        <v>358</v>
      </c>
      <c r="C135" s="60">
        <v>-31.683168316831701</v>
      </c>
      <c r="D135" s="60">
        <v>528.98550724637698</v>
      </c>
      <c r="E135" s="60" t="s">
        <v>261</v>
      </c>
      <c r="F135" s="60" t="s">
        <v>261</v>
      </c>
      <c r="G135" s="60" t="s">
        <v>261</v>
      </c>
      <c r="H135" s="60" t="s">
        <v>261</v>
      </c>
      <c r="I135" s="60" t="s">
        <v>261</v>
      </c>
      <c r="J135" s="60" t="s">
        <v>261</v>
      </c>
      <c r="K135" s="60" t="s">
        <v>261</v>
      </c>
      <c r="L135" s="60" t="s">
        <v>261</v>
      </c>
    </row>
    <row r="136" spans="1:12">
      <c r="A136" s="58" t="s">
        <v>330</v>
      </c>
      <c r="B136" s="58" t="s">
        <v>359</v>
      </c>
      <c r="C136" s="8">
        <v>18000</v>
      </c>
      <c r="D136" s="8">
        <v>14500</v>
      </c>
      <c r="E136" s="8">
        <v>71600</v>
      </c>
      <c r="F136" s="8">
        <v>22100</v>
      </c>
      <c r="G136" s="8">
        <v>43500</v>
      </c>
      <c r="H136" s="8">
        <v>12500</v>
      </c>
      <c r="I136" s="8">
        <v>79300</v>
      </c>
      <c r="J136" s="8">
        <v>8200</v>
      </c>
      <c r="K136" s="8">
        <v>34000</v>
      </c>
      <c r="L136" s="8">
        <v>43200</v>
      </c>
    </row>
    <row r="137" spans="1:12">
      <c r="A137" s="59" t="s">
        <v>234</v>
      </c>
      <c r="B137" s="59" t="s">
        <v>359</v>
      </c>
      <c r="C137" s="60">
        <v>500</v>
      </c>
      <c r="D137" s="60">
        <v>-19.4444444444444</v>
      </c>
      <c r="E137" s="60">
        <v>393.79310344827599</v>
      </c>
      <c r="F137" s="60">
        <v>-69.134078212290504</v>
      </c>
      <c r="G137" s="60">
        <v>96.832579185520302</v>
      </c>
      <c r="H137" s="60">
        <v>-71.264367816092005</v>
      </c>
      <c r="I137" s="60">
        <v>534.4</v>
      </c>
      <c r="J137" s="60">
        <v>-89.659520807061796</v>
      </c>
      <c r="K137" s="60">
        <v>314.63414634146301</v>
      </c>
      <c r="L137" s="60">
        <v>27.0588235294118</v>
      </c>
    </row>
    <row r="138" spans="1:12">
      <c r="A138" s="58" t="s">
        <v>360</v>
      </c>
      <c r="B138" s="58" t="s">
        <v>361</v>
      </c>
      <c r="C138" s="8">
        <v>367300</v>
      </c>
      <c r="D138" s="8">
        <v>543000</v>
      </c>
      <c r="E138" s="8">
        <v>618100</v>
      </c>
      <c r="F138" s="8">
        <v>728800</v>
      </c>
      <c r="G138" s="8">
        <v>1387000</v>
      </c>
      <c r="H138" s="8">
        <v>1358000</v>
      </c>
      <c r="I138" s="8">
        <v>828000</v>
      </c>
      <c r="J138" s="8">
        <v>729600</v>
      </c>
      <c r="K138" s="8">
        <v>576500</v>
      </c>
      <c r="L138" s="8">
        <v>470600</v>
      </c>
    </row>
    <row r="139" spans="1:12">
      <c r="A139" s="59" t="s">
        <v>234</v>
      </c>
      <c r="B139" s="59" t="s">
        <v>361</v>
      </c>
      <c r="C139" s="60">
        <v>6.5873476494486303</v>
      </c>
      <c r="D139" s="60">
        <v>47.835556765586702</v>
      </c>
      <c r="E139" s="60">
        <v>13.830570902394101</v>
      </c>
      <c r="F139" s="60">
        <v>17.9097233457369</v>
      </c>
      <c r="G139" s="60">
        <v>90.312843029637804</v>
      </c>
      <c r="H139" s="60">
        <v>-2.0908435472242202</v>
      </c>
      <c r="I139" s="60">
        <v>-39.027982326951403</v>
      </c>
      <c r="J139" s="60">
        <v>-11.884057971014499</v>
      </c>
      <c r="K139" s="60">
        <v>-20.984100877193001</v>
      </c>
      <c r="L139" s="60">
        <v>-18.3694709453599</v>
      </c>
    </row>
    <row r="140" spans="1:12">
      <c r="A140" s="56" t="s">
        <v>362</v>
      </c>
      <c r="B140" s="56" t="s">
        <v>363</v>
      </c>
      <c r="C140" s="61">
        <v>2440500</v>
      </c>
      <c r="D140" s="61">
        <v>2948400</v>
      </c>
      <c r="E140" s="61">
        <v>3891900</v>
      </c>
      <c r="F140" s="61">
        <v>4687900</v>
      </c>
      <c r="G140" s="61">
        <v>17296400</v>
      </c>
      <c r="H140" s="61">
        <v>19281900</v>
      </c>
      <c r="I140" s="61">
        <v>29827100</v>
      </c>
      <c r="J140" s="61">
        <v>28555700</v>
      </c>
      <c r="K140" s="61">
        <v>27525300</v>
      </c>
      <c r="L140" s="61">
        <v>28088000</v>
      </c>
    </row>
    <row r="141" spans="1:12">
      <c r="A141" s="59" t="s">
        <v>234</v>
      </c>
      <c r="B141" s="59" t="s">
        <v>363</v>
      </c>
      <c r="C141" s="60">
        <v>47.2753605696699</v>
      </c>
      <c r="D141" s="60">
        <v>20.8113091579594</v>
      </c>
      <c r="E141" s="60">
        <v>32.000407000407002</v>
      </c>
      <c r="F141" s="60">
        <v>20.452735167912799</v>
      </c>
      <c r="G141" s="60">
        <v>268.95838221805099</v>
      </c>
      <c r="H141" s="60">
        <v>11.479267361994401</v>
      </c>
      <c r="I141" s="60">
        <v>54.6896312085427</v>
      </c>
      <c r="J141" s="60">
        <v>-4.2625665921259497</v>
      </c>
      <c r="K141" s="60">
        <v>-3.6083864167224098</v>
      </c>
      <c r="L141" s="60">
        <v>2.0443010612055099</v>
      </c>
    </row>
    <row r="142" spans="1:12">
      <c r="A142" s="56" t="s">
        <v>364</v>
      </c>
      <c r="B142" s="56" t="s">
        <v>365</v>
      </c>
      <c r="C142" s="61">
        <v>5479200</v>
      </c>
      <c r="D142" s="61">
        <v>6596500</v>
      </c>
      <c r="E142" s="61">
        <v>8438800</v>
      </c>
      <c r="F142" s="61">
        <v>8908600</v>
      </c>
      <c r="G142" s="61">
        <v>22980600</v>
      </c>
      <c r="H142" s="61">
        <v>25450600</v>
      </c>
      <c r="I142" s="61">
        <v>37173900</v>
      </c>
      <c r="J142" s="61">
        <v>36707100</v>
      </c>
      <c r="K142" s="61">
        <v>36677100</v>
      </c>
      <c r="L142" s="61">
        <v>37433300</v>
      </c>
    </row>
    <row r="143" spans="1:12">
      <c r="A143" s="59" t="s">
        <v>234</v>
      </c>
      <c r="B143" s="59" t="s">
        <v>365</v>
      </c>
      <c r="C143" s="60">
        <v>-22.1084953940635</v>
      </c>
      <c r="D143" s="60">
        <v>20.3916630164988</v>
      </c>
      <c r="E143" s="60">
        <v>27.928446903661001</v>
      </c>
      <c r="F143" s="60">
        <v>5.56714224771296</v>
      </c>
      <c r="G143" s="60">
        <v>157.95972431134001</v>
      </c>
      <c r="H143" s="60">
        <v>10.7481963047092</v>
      </c>
      <c r="I143" s="60">
        <v>46.062961187555501</v>
      </c>
      <c r="J143" s="60">
        <v>-1.25571973884904</v>
      </c>
      <c r="K143" s="60">
        <v>-8.1728058059612405E-2</v>
      </c>
      <c r="L143" s="60">
        <v>2.06177696709937</v>
      </c>
    </row>
    <row r="144" spans="1:12">
      <c r="A144" s="58" t="s">
        <v>366</v>
      </c>
      <c r="B144" s="58" t="s">
        <v>367</v>
      </c>
      <c r="C144" s="8">
        <v>0</v>
      </c>
      <c r="D144" s="8">
        <v>0</v>
      </c>
      <c r="E144" s="8">
        <v>0</v>
      </c>
      <c r="F144" s="8">
        <v>0</v>
      </c>
      <c r="G144" s="8">
        <v>0</v>
      </c>
      <c r="H144" s="8">
        <v>0</v>
      </c>
      <c r="I144" s="8">
        <v>0</v>
      </c>
      <c r="J144" s="8">
        <v>0</v>
      </c>
      <c r="K144" s="8">
        <v>0</v>
      </c>
      <c r="L144" s="8">
        <v>0</v>
      </c>
    </row>
    <row r="145" spans="1:12">
      <c r="A145" s="58" t="s">
        <v>368</v>
      </c>
      <c r="B145" s="58" t="s">
        <v>369</v>
      </c>
      <c r="C145" s="8">
        <v>40100</v>
      </c>
      <c r="D145" s="8">
        <v>42600</v>
      </c>
      <c r="E145" s="8">
        <v>42600</v>
      </c>
      <c r="F145" s="8">
        <v>42500</v>
      </c>
      <c r="G145" s="8">
        <v>42400</v>
      </c>
      <c r="H145" s="8">
        <v>42300</v>
      </c>
      <c r="I145" s="8">
        <v>375100</v>
      </c>
      <c r="J145" s="8">
        <v>847300</v>
      </c>
      <c r="K145" s="8">
        <v>206400</v>
      </c>
      <c r="L145" s="8">
        <v>39200</v>
      </c>
    </row>
    <row r="146" spans="1:12">
      <c r="A146" s="59" t="s">
        <v>234</v>
      </c>
      <c r="B146" s="59" t="s">
        <v>369</v>
      </c>
      <c r="C146" s="60">
        <v>-85.825379992930394</v>
      </c>
      <c r="D146" s="60">
        <v>6.2344139650872803</v>
      </c>
      <c r="E146" s="60">
        <v>0</v>
      </c>
      <c r="F146" s="60">
        <v>-0.23474178403756199</v>
      </c>
      <c r="G146" s="60">
        <v>-0.23529411764706201</v>
      </c>
      <c r="H146" s="60">
        <v>-0.235849056603777</v>
      </c>
      <c r="I146" s="60">
        <v>786.76122931442103</v>
      </c>
      <c r="J146" s="60">
        <v>125.88643028525701</v>
      </c>
      <c r="K146" s="60">
        <v>-75.640269090050793</v>
      </c>
      <c r="L146" s="60">
        <v>-81.007751937984494</v>
      </c>
    </row>
    <row r="147" spans="1:12">
      <c r="A147" s="58" t="s">
        <v>370</v>
      </c>
      <c r="B147" s="58" t="s">
        <v>371</v>
      </c>
      <c r="C147" s="8">
        <v>700</v>
      </c>
      <c r="D147" s="8">
        <v>1500</v>
      </c>
      <c r="E147" s="8">
        <v>1500</v>
      </c>
      <c r="F147" s="8">
        <v>1400</v>
      </c>
      <c r="G147" s="8">
        <v>1300</v>
      </c>
      <c r="H147" s="8">
        <v>1200</v>
      </c>
      <c r="I147" s="8">
        <v>1200</v>
      </c>
      <c r="J147" s="8">
        <v>1200</v>
      </c>
      <c r="K147" s="8">
        <v>1100</v>
      </c>
      <c r="L147" s="8">
        <v>1100</v>
      </c>
    </row>
    <row r="148" spans="1:12">
      <c r="A148" s="59" t="s">
        <v>234</v>
      </c>
      <c r="B148" s="59" t="s">
        <v>371</v>
      </c>
      <c r="C148" s="60">
        <v>-12.5</v>
      </c>
      <c r="D148" s="60">
        <v>114.28571428571399</v>
      </c>
      <c r="E148" s="60">
        <v>0</v>
      </c>
      <c r="F148" s="60">
        <v>-6.6666666666666696</v>
      </c>
      <c r="G148" s="60">
        <v>-7.1428571428571299</v>
      </c>
      <c r="H148" s="60">
        <v>-7.6923076923076996</v>
      </c>
      <c r="I148" s="60">
        <v>0</v>
      </c>
      <c r="J148" s="60">
        <v>0</v>
      </c>
      <c r="K148" s="60">
        <v>-8.3333333333333197</v>
      </c>
      <c r="L148" s="60">
        <v>0</v>
      </c>
    </row>
    <row r="149" spans="1:12">
      <c r="A149" s="58" t="s">
        <v>372</v>
      </c>
      <c r="B149" s="58" t="s">
        <v>373</v>
      </c>
      <c r="C149" s="8">
        <v>39400</v>
      </c>
      <c r="D149" s="8">
        <v>41100</v>
      </c>
      <c r="E149" s="8">
        <v>41100</v>
      </c>
      <c r="F149" s="8">
        <v>41100</v>
      </c>
      <c r="G149" s="8">
        <v>41100</v>
      </c>
      <c r="H149" s="8">
        <v>41100</v>
      </c>
      <c r="I149" s="8">
        <v>373900</v>
      </c>
      <c r="J149" s="8">
        <v>846100</v>
      </c>
      <c r="K149" s="8">
        <v>205300</v>
      </c>
      <c r="L149" s="8">
        <v>38100</v>
      </c>
    </row>
    <row r="150" spans="1:12">
      <c r="A150" s="59" t="s">
        <v>234</v>
      </c>
      <c r="B150" s="59" t="s">
        <v>373</v>
      </c>
      <c r="C150" s="60">
        <v>-86.033321517192505</v>
      </c>
      <c r="D150" s="60">
        <v>4.3147208121827498</v>
      </c>
      <c r="E150" s="60">
        <v>0</v>
      </c>
      <c r="F150" s="60">
        <v>0</v>
      </c>
      <c r="G150" s="60">
        <v>0</v>
      </c>
      <c r="H150" s="60">
        <v>0</v>
      </c>
      <c r="I150" s="60">
        <v>809.73236009732398</v>
      </c>
      <c r="J150" s="60">
        <v>126.290451992511</v>
      </c>
      <c r="K150" s="60">
        <v>-75.735728637276907</v>
      </c>
      <c r="L150" s="60">
        <v>-81.441792498782306</v>
      </c>
    </row>
    <row r="151" spans="1:12">
      <c r="A151" s="58" t="s">
        <v>374</v>
      </c>
      <c r="B151" s="58" t="s">
        <v>375</v>
      </c>
      <c r="C151" s="8">
        <v>0</v>
      </c>
      <c r="D151" s="8">
        <v>0</v>
      </c>
      <c r="E151" s="8">
        <v>0</v>
      </c>
      <c r="F151" s="8">
        <v>0</v>
      </c>
      <c r="G151" s="8">
        <v>0</v>
      </c>
      <c r="H151" s="8">
        <v>0</v>
      </c>
      <c r="I151" s="8">
        <v>0</v>
      </c>
      <c r="J151" s="8">
        <v>0</v>
      </c>
      <c r="K151" s="8">
        <v>0</v>
      </c>
      <c r="L151" s="8">
        <v>0</v>
      </c>
    </row>
    <row r="152" spans="1:12">
      <c r="A152" s="58" t="s">
        <v>376</v>
      </c>
      <c r="B152" s="58" t="s">
        <v>377</v>
      </c>
      <c r="C152" s="8">
        <v>5206600</v>
      </c>
      <c r="D152" s="8">
        <v>5974800</v>
      </c>
      <c r="E152" s="8">
        <v>5949800</v>
      </c>
      <c r="F152" s="8">
        <v>5563200</v>
      </c>
      <c r="G152" s="8">
        <v>1457400</v>
      </c>
      <c r="H152" s="8">
        <v>-5771200</v>
      </c>
      <c r="I152" s="8">
        <v>-7815600</v>
      </c>
      <c r="J152" s="8">
        <v>-6315700</v>
      </c>
      <c r="K152" s="8">
        <v>-8449800</v>
      </c>
      <c r="L152" s="8">
        <v>-7255800</v>
      </c>
    </row>
    <row r="153" spans="1:12">
      <c r="A153" s="59" t="s">
        <v>234</v>
      </c>
      <c r="B153" s="59" t="s">
        <v>377</v>
      </c>
      <c r="C153" s="60">
        <v>26.058639808246401</v>
      </c>
      <c r="D153" s="60">
        <v>14.754350247762501</v>
      </c>
      <c r="E153" s="60">
        <v>-0.41842404766686703</v>
      </c>
      <c r="F153" s="60">
        <v>-6.4976974015933404</v>
      </c>
      <c r="G153" s="60">
        <v>-73.802847282139794</v>
      </c>
      <c r="H153" s="60" t="s">
        <v>261</v>
      </c>
      <c r="I153" s="60">
        <v>-35.42417521486</v>
      </c>
      <c r="J153" s="60">
        <v>19.1911049695481</v>
      </c>
      <c r="K153" s="60">
        <v>-33.790395363934302</v>
      </c>
      <c r="L153" s="60">
        <v>14.130511964780201</v>
      </c>
    </row>
    <row r="154" spans="1:12">
      <c r="A154" s="58" t="s">
        <v>378</v>
      </c>
      <c r="B154" s="58" t="s">
        <v>379</v>
      </c>
      <c r="C154" s="8">
        <v>25300</v>
      </c>
      <c r="D154" s="8">
        <v>-199400</v>
      </c>
      <c r="E154" s="8">
        <v>-108400</v>
      </c>
      <c r="F154" s="8">
        <v>-155600</v>
      </c>
      <c r="G154" s="8">
        <v>-330300</v>
      </c>
      <c r="H154" s="8">
        <v>-503300</v>
      </c>
      <c r="I154" s="8">
        <v>-364600</v>
      </c>
      <c r="J154" s="8">
        <v>147200</v>
      </c>
      <c r="K154" s="8">
        <v>-463200</v>
      </c>
      <c r="L154" s="8">
        <v>-778200</v>
      </c>
    </row>
    <row r="155" spans="1:12">
      <c r="A155" s="59" t="s">
        <v>234</v>
      </c>
      <c r="B155" s="59" t="s">
        <v>379</v>
      </c>
      <c r="C155" s="60">
        <v>-62.238805970149301</v>
      </c>
      <c r="D155" s="60" t="s">
        <v>261</v>
      </c>
      <c r="E155" s="60">
        <v>45.636910732196597</v>
      </c>
      <c r="F155" s="60">
        <v>-43.542435424354203</v>
      </c>
      <c r="G155" s="60">
        <v>-112.27506426735199</v>
      </c>
      <c r="H155" s="60">
        <v>-52.376627308507402</v>
      </c>
      <c r="I155" s="60">
        <v>27.558116431551799</v>
      </c>
      <c r="J155" s="60" t="s">
        <v>261</v>
      </c>
      <c r="K155" s="60" t="s">
        <v>261</v>
      </c>
      <c r="L155" s="60">
        <v>-68.005181347150298</v>
      </c>
    </row>
    <row r="156" spans="1:12">
      <c r="A156" s="56" t="s">
        <v>380</v>
      </c>
      <c r="B156" s="56" t="s">
        <v>381</v>
      </c>
      <c r="C156" s="61">
        <v>5272000</v>
      </c>
      <c r="D156" s="61">
        <v>5818000</v>
      </c>
      <c r="E156" s="61">
        <v>5884000</v>
      </c>
      <c r="F156" s="61">
        <v>5450100</v>
      </c>
      <c r="G156" s="61">
        <v>1169500</v>
      </c>
      <c r="H156" s="61">
        <v>-6232200</v>
      </c>
      <c r="I156" s="61">
        <v>-7805100</v>
      </c>
      <c r="J156" s="61">
        <v>-5321200</v>
      </c>
      <c r="K156" s="61">
        <v>-8706600</v>
      </c>
      <c r="L156" s="61">
        <v>-7994800</v>
      </c>
    </row>
    <row r="157" spans="1:12">
      <c r="A157" s="59" t="s">
        <v>234</v>
      </c>
      <c r="B157" s="59" t="s">
        <v>381</v>
      </c>
      <c r="C157" s="60">
        <v>17.6733181554395</v>
      </c>
      <c r="D157" s="60">
        <v>10.3566009104704</v>
      </c>
      <c r="E157" s="60">
        <v>1.13441045032657</v>
      </c>
      <c r="F157" s="60">
        <v>-7.3742352141400298</v>
      </c>
      <c r="G157" s="60">
        <v>-78.541678134346199</v>
      </c>
      <c r="H157" s="60" t="s">
        <v>261</v>
      </c>
      <c r="I157" s="60">
        <v>-25.238278617502701</v>
      </c>
      <c r="J157" s="60">
        <v>31.824063753187001</v>
      </c>
      <c r="K157" s="60">
        <v>-63.620987747124701</v>
      </c>
      <c r="L157" s="60">
        <v>8.1754071623825606</v>
      </c>
    </row>
    <row r="158" spans="1:12">
      <c r="A158" s="58" t="s">
        <v>382</v>
      </c>
      <c r="B158" s="58" t="s">
        <v>383</v>
      </c>
      <c r="C158" s="8">
        <v>1700</v>
      </c>
      <c r="D158" s="8">
        <v>1800</v>
      </c>
      <c r="E158" s="8">
        <v>6700</v>
      </c>
      <c r="F158" s="8">
        <v>6900</v>
      </c>
      <c r="G158" s="8">
        <v>6300</v>
      </c>
      <c r="H158" s="8">
        <v>1200</v>
      </c>
      <c r="I158" s="8">
        <v>5700</v>
      </c>
      <c r="J158" s="8">
        <v>6700</v>
      </c>
      <c r="K158" s="8">
        <v>7900</v>
      </c>
      <c r="L158" s="8">
        <v>7000</v>
      </c>
    </row>
    <row r="159" spans="1:12">
      <c r="A159" s="59" t="s">
        <v>234</v>
      </c>
      <c r="B159" s="59" t="s">
        <v>383</v>
      </c>
      <c r="C159" s="60">
        <v>-19.047619047619101</v>
      </c>
      <c r="D159" s="60">
        <v>5.8823529411764799</v>
      </c>
      <c r="E159" s="60">
        <v>272.222222222222</v>
      </c>
      <c r="F159" s="60">
        <v>2.98507462686567</v>
      </c>
      <c r="G159" s="60">
        <v>-8.6956521739130501</v>
      </c>
      <c r="H159" s="60">
        <v>-80.952380952380906</v>
      </c>
      <c r="I159" s="60">
        <v>375</v>
      </c>
      <c r="J159" s="60">
        <v>17.543859649122801</v>
      </c>
      <c r="K159" s="60">
        <v>17.910447761194</v>
      </c>
      <c r="L159" s="60">
        <v>-11.3924050632911</v>
      </c>
    </row>
    <row r="160" spans="1:12">
      <c r="A160" s="56" t="s">
        <v>99</v>
      </c>
      <c r="B160" s="56" t="s">
        <v>384</v>
      </c>
      <c r="C160" s="61">
        <v>5273700</v>
      </c>
      <c r="D160" s="61">
        <v>5819800</v>
      </c>
      <c r="E160" s="61">
        <v>5890700</v>
      </c>
      <c r="F160" s="61">
        <v>5457000</v>
      </c>
      <c r="G160" s="61">
        <v>1175800</v>
      </c>
      <c r="H160" s="61">
        <v>-6231000</v>
      </c>
      <c r="I160" s="61">
        <v>-7799400</v>
      </c>
      <c r="J160" s="61">
        <v>-5314500</v>
      </c>
      <c r="K160" s="61">
        <v>-8698700</v>
      </c>
      <c r="L160" s="61">
        <v>-7987800</v>
      </c>
    </row>
    <row r="161" spans="1:12">
      <c r="A161" s="59" t="s">
        <v>234</v>
      </c>
      <c r="B161" s="59" t="s">
        <v>384</v>
      </c>
      <c r="C161" s="60">
        <v>17.6561140485911</v>
      </c>
      <c r="D161" s="60">
        <v>10.3551586172896</v>
      </c>
      <c r="E161" s="60">
        <v>1.21825492284958</v>
      </c>
      <c r="F161" s="60">
        <v>-7.3624526796475802</v>
      </c>
      <c r="G161" s="60">
        <v>-78.453362653472595</v>
      </c>
      <c r="H161" s="60" t="s">
        <v>261</v>
      </c>
      <c r="I161" s="60">
        <v>-25.170919595570499</v>
      </c>
      <c r="J161" s="60">
        <v>31.860143087929799</v>
      </c>
      <c r="K161" s="60">
        <v>-63.678615109605801</v>
      </c>
      <c r="L161" s="60">
        <v>8.1724855438169008</v>
      </c>
    </row>
    <row r="162" spans="1:12">
      <c r="A162" s="56" t="s">
        <v>385</v>
      </c>
      <c r="B162" s="56" t="s">
        <v>386</v>
      </c>
      <c r="C162" s="61">
        <v>10752900</v>
      </c>
      <c r="D162" s="61">
        <v>12416300</v>
      </c>
      <c r="E162" s="61">
        <v>14329500</v>
      </c>
      <c r="F162" s="61">
        <v>14365600</v>
      </c>
      <c r="G162" s="61">
        <v>24156400</v>
      </c>
      <c r="H162" s="61">
        <v>19219600</v>
      </c>
      <c r="I162" s="61">
        <v>29374500</v>
      </c>
      <c r="J162" s="61">
        <v>31392600</v>
      </c>
      <c r="K162" s="61">
        <v>27978400</v>
      </c>
      <c r="L162" s="61">
        <v>29445500</v>
      </c>
    </row>
    <row r="163" spans="1:12">
      <c r="A163" s="59" t="s">
        <v>234</v>
      </c>
      <c r="B163" s="59" t="s">
        <v>386</v>
      </c>
      <c r="C163" s="60">
        <v>-6.6321081559821904</v>
      </c>
      <c r="D163" s="60">
        <v>15.4693152544895</v>
      </c>
      <c r="E163" s="60">
        <v>15.408777171943299</v>
      </c>
      <c r="F163" s="60">
        <v>0.25192784116682598</v>
      </c>
      <c r="G163" s="60">
        <v>68.154480147017907</v>
      </c>
      <c r="H163" s="60">
        <v>-20.4368200559686</v>
      </c>
      <c r="I163" s="60">
        <v>52.836167245936501</v>
      </c>
      <c r="J163" s="60">
        <v>6.8702445999080801</v>
      </c>
      <c r="K163" s="60">
        <v>-10.875811496977001</v>
      </c>
      <c r="L163" s="60">
        <v>5.2436879878763598</v>
      </c>
    </row>
    <row r="164" spans="1:12">
      <c r="A164" s="56"/>
      <c r="B164" s="57"/>
      <c r="C164" s="57"/>
      <c r="D164" s="57"/>
      <c r="E164" s="57"/>
      <c r="F164" s="57"/>
      <c r="G164" s="57"/>
      <c r="H164" s="57"/>
      <c r="I164" s="57"/>
      <c r="J164" s="57"/>
      <c r="K164" s="57"/>
      <c r="L164" s="57"/>
    </row>
    <row r="165" spans="1:12">
      <c r="A165" s="56" t="s">
        <v>387</v>
      </c>
      <c r="B165" s="57"/>
      <c r="C165" s="57"/>
      <c r="D165" s="57"/>
      <c r="E165" s="57"/>
      <c r="F165" s="57"/>
      <c r="G165" s="57"/>
      <c r="H165" s="57"/>
      <c r="I165" s="57"/>
      <c r="J165" s="57"/>
      <c r="K165" s="57"/>
      <c r="L165" s="57"/>
    </row>
    <row r="166" spans="1:12">
      <c r="A166" s="58" t="s">
        <v>388</v>
      </c>
      <c r="B166" s="58" t="s">
        <v>389</v>
      </c>
      <c r="C166" s="62" t="s">
        <v>390</v>
      </c>
      <c r="D166" s="62" t="s">
        <v>390</v>
      </c>
      <c r="E166" s="62" t="s">
        <v>390</v>
      </c>
      <c r="F166" s="62" t="s">
        <v>390</v>
      </c>
      <c r="G166" s="62" t="s">
        <v>390</v>
      </c>
      <c r="H166" s="62" t="s">
        <v>390</v>
      </c>
      <c r="I166" s="62" t="s">
        <v>390</v>
      </c>
      <c r="J166" s="62" t="s">
        <v>390</v>
      </c>
      <c r="K166" s="62" t="s">
        <v>390</v>
      </c>
      <c r="L166" s="62" t="s">
        <v>390</v>
      </c>
    </row>
    <row r="167" spans="1:12">
      <c r="A167" s="58" t="s">
        <v>391</v>
      </c>
      <c r="B167" s="58" t="s">
        <v>392</v>
      </c>
      <c r="C167" s="8">
        <v>1499.1</v>
      </c>
      <c r="D167" s="8">
        <v>1485.1</v>
      </c>
      <c r="E167" s="8">
        <v>1460.5</v>
      </c>
      <c r="F167" s="8">
        <v>1431.6</v>
      </c>
      <c r="G167" s="8">
        <v>1309.0999999999999</v>
      </c>
      <c r="H167" s="8">
        <v>1184.5999999999999</v>
      </c>
      <c r="I167" s="8">
        <v>1173.3</v>
      </c>
      <c r="J167" s="8">
        <v>1180</v>
      </c>
      <c r="K167" s="8">
        <v>1147.9000000000001</v>
      </c>
      <c r="L167" s="8">
        <v>1142.5999999999999</v>
      </c>
    </row>
    <row r="168" spans="1:12">
      <c r="A168" s="59" t="s">
        <v>234</v>
      </c>
      <c r="B168" s="59" t="s">
        <v>392</v>
      </c>
      <c r="C168" s="60">
        <v>99.030801911842801</v>
      </c>
      <c r="D168" s="60">
        <v>-0.93389366953505404</v>
      </c>
      <c r="E168" s="60">
        <v>-1.6564541108342801</v>
      </c>
      <c r="F168" s="60">
        <v>-1.9787743923314001</v>
      </c>
      <c r="G168" s="60">
        <v>-8.5568594579491499</v>
      </c>
      <c r="H168" s="60">
        <v>-9.5103506225651202</v>
      </c>
      <c r="I168" s="60">
        <v>-0.95390849231807795</v>
      </c>
      <c r="J168" s="60">
        <v>0.57103894997017401</v>
      </c>
      <c r="K168" s="60">
        <v>-2.7203389830508402</v>
      </c>
      <c r="L168" s="60">
        <v>-0.46171269274328602</v>
      </c>
    </row>
    <row r="169" spans="1:12">
      <c r="A169" s="58" t="s">
        <v>393</v>
      </c>
      <c r="B169" s="58" t="s">
        <v>394</v>
      </c>
      <c r="C169" s="8">
        <v>0</v>
      </c>
      <c r="D169" s="8">
        <v>0</v>
      </c>
      <c r="E169" s="8">
        <v>0</v>
      </c>
      <c r="F169" s="8">
        <v>0</v>
      </c>
      <c r="G169" s="8">
        <v>0</v>
      </c>
      <c r="H169" s="8">
        <v>0</v>
      </c>
      <c r="I169" s="8">
        <v>0</v>
      </c>
      <c r="J169" s="8">
        <v>0</v>
      </c>
      <c r="K169" s="8">
        <v>0</v>
      </c>
      <c r="L169" s="8">
        <v>0</v>
      </c>
    </row>
    <row r="170" spans="1:12">
      <c r="A170" s="58" t="s">
        <v>395</v>
      </c>
      <c r="B170" s="58" t="s">
        <v>396</v>
      </c>
      <c r="C170" s="8">
        <v>0</v>
      </c>
      <c r="D170" s="8">
        <v>0</v>
      </c>
      <c r="E170" s="8">
        <v>0</v>
      </c>
      <c r="F170" s="8">
        <v>0</v>
      </c>
      <c r="G170" s="8">
        <v>0</v>
      </c>
      <c r="H170" s="8">
        <v>0</v>
      </c>
      <c r="I170" s="8">
        <v>0</v>
      </c>
      <c r="J170" s="8">
        <v>0</v>
      </c>
      <c r="K170" s="8">
        <v>0</v>
      </c>
      <c r="L170" s="8">
        <v>0</v>
      </c>
    </row>
    <row r="171" spans="1:12">
      <c r="A171" s="58" t="s">
        <v>397</v>
      </c>
      <c r="B171" s="58" t="s">
        <v>398</v>
      </c>
      <c r="C171" s="8">
        <v>4944600</v>
      </c>
      <c r="D171" s="8">
        <v>5657600</v>
      </c>
      <c r="E171" s="8">
        <v>7270400</v>
      </c>
      <c r="F171" s="8">
        <v>8598000</v>
      </c>
      <c r="G171" s="8">
        <v>9353800</v>
      </c>
      <c r="H171" s="8">
        <v>10230900</v>
      </c>
      <c r="I171" s="8">
        <v>10089600</v>
      </c>
      <c r="J171" s="8">
        <v>10129900</v>
      </c>
      <c r="K171" s="8">
        <v>9863700</v>
      </c>
      <c r="L171" s="8">
        <v>10594100</v>
      </c>
    </row>
    <row r="172" spans="1:12">
      <c r="A172" s="59" t="s">
        <v>234</v>
      </c>
      <c r="B172" s="59" t="s">
        <v>398</v>
      </c>
      <c r="C172" s="60">
        <v>8.0409037276580904</v>
      </c>
      <c r="D172" s="60">
        <v>14.419771063382299</v>
      </c>
      <c r="E172" s="60">
        <v>28.506787330316701</v>
      </c>
      <c r="F172" s="60">
        <v>18.260343309859199</v>
      </c>
      <c r="G172" s="60">
        <v>8.7904163759013603</v>
      </c>
      <c r="H172" s="60">
        <v>9.3769377151532005</v>
      </c>
      <c r="I172" s="60">
        <v>-1.3811101662610299</v>
      </c>
      <c r="J172" s="60">
        <v>0.39942118617189298</v>
      </c>
      <c r="K172" s="60">
        <v>-2.6278640460418998</v>
      </c>
      <c r="L172" s="60">
        <v>7.4049291847886698</v>
      </c>
    </row>
    <row r="173" spans="1:12">
      <c r="A173" s="58" t="s">
        <v>399</v>
      </c>
      <c r="B173" s="58" t="s">
        <v>400</v>
      </c>
      <c r="C173" s="8">
        <v>0</v>
      </c>
      <c r="D173" s="8" t="s">
        <v>261</v>
      </c>
      <c r="E173" s="8" t="s">
        <v>261</v>
      </c>
      <c r="F173" s="8" t="s">
        <v>261</v>
      </c>
      <c r="G173" s="8" t="s">
        <v>261</v>
      </c>
      <c r="H173" s="8" t="s">
        <v>261</v>
      </c>
      <c r="I173" s="8">
        <v>0</v>
      </c>
      <c r="J173" s="8">
        <v>0</v>
      </c>
      <c r="K173" s="8">
        <v>0</v>
      </c>
      <c r="L173" s="8">
        <v>0</v>
      </c>
    </row>
    <row r="174" spans="1:12">
      <c r="A174" s="58" t="s">
        <v>401</v>
      </c>
      <c r="B174" s="58" t="s">
        <v>402</v>
      </c>
      <c r="C174" s="8">
        <v>6.2</v>
      </c>
      <c r="D174" s="8">
        <v>6.4</v>
      </c>
      <c r="E174" s="8">
        <v>6.1</v>
      </c>
      <c r="F174" s="8">
        <v>7.1</v>
      </c>
      <c r="G174" s="8">
        <v>3.9</v>
      </c>
      <c r="H174" s="8">
        <v>0.5</v>
      </c>
      <c r="I174" s="8">
        <v>0.1</v>
      </c>
      <c r="J174" s="8">
        <v>0</v>
      </c>
      <c r="K174" s="8">
        <v>0</v>
      </c>
      <c r="L174" s="8">
        <v>0</v>
      </c>
    </row>
    <row r="175" spans="1:12">
      <c r="A175" s="59" t="s">
        <v>234</v>
      </c>
      <c r="B175" s="59" t="s">
        <v>402</v>
      </c>
      <c r="C175" s="60">
        <v>72.2222222222222</v>
      </c>
      <c r="D175" s="60">
        <v>3.2258064516129101</v>
      </c>
      <c r="E175" s="60">
        <v>-4.6875000000000098</v>
      </c>
      <c r="F175" s="60">
        <v>16.393442622950801</v>
      </c>
      <c r="G175" s="60">
        <v>-45.0704225352113</v>
      </c>
      <c r="H175" s="60">
        <v>-87.179487179487197</v>
      </c>
      <c r="I175" s="60">
        <v>-80</v>
      </c>
      <c r="J175" s="60" t="s">
        <v>261</v>
      </c>
      <c r="K175" s="60" t="s">
        <v>261</v>
      </c>
      <c r="L175" s="60" t="s">
        <v>261</v>
      </c>
    </row>
    <row r="176" spans="1:12">
      <c r="A176" s="58" t="s">
        <v>403</v>
      </c>
      <c r="B176" s="58" t="s">
        <v>404</v>
      </c>
      <c r="C176" s="8">
        <v>39.6</v>
      </c>
      <c r="D176" s="8">
        <v>33.6</v>
      </c>
      <c r="E176" s="8">
        <v>31.3</v>
      </c>
      <c r="F176" s="8">
        <v>31.4</v>
      </c>
      <c r="G176" s="8">
        <v>27.3</v>
      </c>
      <c r="H176" s="8">
        <v>15.2</v>
      </c>
      <c r="I176" s="8">
        <v>9.1999999999999993</v>
      </c>
      <c r="J176" s="8">
        <v>5.2</v>
      </c>
      <c r="K176" s="8">
        <v>4.0999999999999996</v>
      </c>
      <c r="L176" s="8">
        <v>2</v>
      </c>
    </row>
    <row r="177" spans="1:12">
      <c r="A177" s="59" t="s">
        <v>234</v>
      </c>
      <c r="B177" s="59" t="s">
        <v>404</v>
      </c>
      <c r="C177" s="60">
        <v>80</v>
      </c>
      <c r="D177" s="60">
        <v>-15.1515151515152</v>
      </c>
      <c r="E177" s="60">
        <v>-6.8452380952381002</v>
      </c>
      <c r="F177" s="60">
        <v>0.31948881789136702</v>
      </c>
      <c r="G177" s="60">
        <v>-13.0573248407643</v>
      </c>
      <c r="H177" s="60">
        <v>-44.3223443223443</v>
      </c>
      <c r="I177" s="60">
        <v>-39.473684210526301</v>
      </c>
      <c r="J177" s="60">
        <v>-43.478260869565197</v>
      </c>
      <c r="K177" s="60">
        <v>-21.153846153846199</v>
      </c>
      <c r="L177" s="60">
        <v>-51.219512195122</v>
      </c>
    </row>
    <row r="178" spans="1:12">
      <c r="A178" s="58" t="s">
        <v>405</v>
      </c>
      <c r="B178" s="58" t="s">
        <v>406</v>
      </c>
      <c r="C178" s="8">
        <v>204500</v>
      </c>
      <c r="D178" s="8">
        <v>736100</v>
      </c>
      <c r="E178" s="8">
        <v>1339000</v>
      </c>
      <c r="F178" s="8">
        <v>1241700</v>
      </c>
      <c r="G178" s="8">
        <v>502300</v>
      </c>
      <c r="H178" s="8">
        <v>8409900</v>
      </c>
      <c r="I178" s="8">
        <v>20626700</v>
      </c>
      <c r="J178" s="8">
        <v>16987200</v>
      </c>
      <c r="K178" s="8">
        <v>20621900</v>
      </c>
      <c r="L178" s="8">
        <v>20646800</v>
      </c>
    </row>
    <row r="179" spans="1:12">
      <c r="A179" s="59" t="s">
        <v>234</v>
      </c>
      <c r="B179" s="59" t="s">
        <v>406</v>
      </c>
      <c r="C179" s="60" t="s">
        <v>261</v>
      </c>
      <c r="D179" s="60">
        <v>259.951100244499</v>
      </c>
      <c r="E179" s="60">
        <v>81.904632522755094</v>
      </c>
      <c r="F179" s="60">
        <v>-7.2666168782673601</v>
      </c>
      <c r="G179" s="60">
        <v>-59.547394700813399</v>
      </c>
      <c r="H179" s="60">
        <v>1574.2783197292499</v>
      </c>
      <c r="I179" s="60">
        <v>145.26688783457601</v>
      </c>
      <c r="J179" s="60">
        <v>-17.644606262756501</v>
      </c>
      <c r="K179" s="60">
        <v>21.396698690778901</v>
      </c>
      <c r="L179" s="60">
        <v>0.120745421129953</v>
      </c>
    </row>
    <row r="180" spans="1:12">
      <c r="A180" s="58" t="s">
        <v>407</v>
      </c>
      <c r="B180" s="58" t="s">
        <v>408</v>
      </c>
      <c r="C180" s="8">
        <v>3.8776999999999999</v>
      </c>
      <c r="D180" s="8">
        <v>12.648199999999999</v>
      </c>
      <c r="E180" s="8">
        <v>22.730699999999999</v>
      </c>
      <c r="F180" s="8">
        <v>22.754300000000001</v>
      </c>
      <c r="G180" s="8">
        <v>42.719900000000003</v>
      </c>
      <c r="H180" s="8" t="s">
        <v>261</v>
      </c>
      <c r="I180" s="8" t="s">
        <v>261</v>
      </c>
      <c r="J180" s="8" t="s">
        <v>261</v>
      </c>
      <c r="K180" s="8" t="s">
        <v>261</v>
      </c>
      <c r="L180" s="8" t="s">
        <v>261</v>
      </c>
    </row>
    <row r="181" spans="1:12">
      <c r="A181" s="59" t="s">
        <v>234</v>
      </c>
      <c r="B181" s="59" t="s">
        <v>408</v>
      </c>
      <c r="C181" s="60" t="s">
        <v>261</v>
      </c>
      <c r="D181" s="60">
        <v>226.17513892782199</v>
      </c>
      <c r="E181" s="60">
        <v>79.715241716984096</v>
      </c>
      <c r="F181" s="60">
        <v>0.1034545942071</v>
      </c>
      <c r="G181" s="60">
        <v>87.744396533027398</v>
      </c>
      <c r="H181" s="60" t="s">
        <v>261</v>
      </c>
      <c r="I181" s="60" t="s">
        <v>261</v>
      </c>
      <c r="J181" s="60" t="s">
        <v>261</v>
      </c>
      <c r="K181" s="60" t="s">
        <v>261</v>
      </c>
      <c r="L181" s="60" t="s">
        <v>261</v>
      </c>
    </row>
    <row r="182" spans="1:12">
      <c r="A182" s="58" t="s">
        <v>409</v>
      </c>
      <c r="B182" s="58" t="s">
        <v>410</v>
      </c>
      <c r="C182" s="8">
        <v>43.044899999999998</v>
      </c>
      <c r="D182" s="8">
        <v>36.066099999999999</v>
      </c>
      <c r="E182" s="8">
        <v>30.165500000000002</v>
      </c>
      <c r="F182" s="8">
        <v>28.0137</v>
      </c>
      <c r="G182" s="8">
        <v>-17.444299999999998</v>
      </c>
      <c r="H182" s="8">
        <v>-70.280299999999997</v>
      </c>
      <c r="I182" s="8">
        <v>-47.390700000000002</v>
      </c>
      <c r="J182" s="8">
        <v>-34.1614</v>
      </c>
      <c r="K182" s="8">
        <v>-49.496699999999997</v>
      </c>
      <c r="L182" s="8">
        <v>-43.412599999999998</v>
      </c>
    </row>
    <row r="183" spans="1:12">
      <c r="A183" s="59" t="s">
        <v>234</v>
      </c>
      <c r="B183" s="59" t="s">
        <v>410</v>
      </c>
      <c r="C183" s="60">
        <v>33.6614401531018</v>
      </c>
      <c r="D183" s="60">
        <v>-16.212944273835902</v>
      </c>
      <c r="E183" s="60">
        <v>-16.360357634633001</v>
      </c>
      <c r="F183" s="60">
        <v>-7.1333576568920902</v>
      </c>
      <c r="G183" s="60" t="s">
        <v>261</v>
      </c>
      <c r="H183" s="60">
        <v>-302.884543727905</v>
      </c>
      <c r="I183" s="60">
        <v>32.569028850806099</v>
      </c>
      <c r="J183" s="60">
        <v>27.915429829541502</v>
      </c>
      <c r="K183" s="60">
        <v>-44.890842543683704</v>
      </c>
      <c r="L183" s="60">
        <v>12.2919437894067</v>
      </c>
    </row>
    <row r="184" spans="1:12">
      <c r="A184" s="58" t="s">
        <v>207</v>
      </c>
      <c r="B184" s="58" t="s">
        <v>411</v>
      </c>
      <c r="C184" s="8">
        <v>1.3718999999999999</v>
      </c>
      <c r="D184" s="8">
        <v>1.0885</v>
      </c>
      <c r="E184" s="8">
        <v>1.0469999999999999</v>
      </c>
      <c r="F184" s="8">
        <v>1.2518</v>
      </c>
      <c r="G184" s="8">
        <v>2.1981000000000002</v>
      </c>
      <c r="H184" s="8">
        <v>0.91649999999999998</v>
      </c>
      <c r="I184" s="8">
        <v>1.0626</v>
      </c>
      <c r="J184" s="8">
        <v>1.1969000000000001</v>
      </c>
      <c r="K184" s="8">
        <v>0.76690000000000003</v>
      </c>
      <c r="L184" s="8">
        <v>0.78149999999999997</v>
      </c>
    </row>
    <row r="185" spans="1:12">
      <c r="A185" s="59" t="s">
        <v>234</v>
      </c>
      <c r="B185" s="59" t="s">
        <v>411</v>
      </c>
      <c r="C185" s="60">
        <v>34.827650936266302</v>
      </c>
      <c r="D185" s="60">
        <v>-20.6548725462325</v>
      </c>
      <c r="E185" s="60">
        <v>-3.8157594955315002</v>
      </c>
      <c r="F185" s="60">
        <v>19.561652261702001</v>
      </c>
      <c r="G185" s="60">
        <v>75.594172472385395</v>
      </c>
      <c r="H185" s="60">
        <v>-58.302010229029499</v>
      </c>
      <c r="I185" s="60">
        <v>15.930678874819099</v>
      </c>
      <c r="J185" s="60">
        <v>12.643168655264001</v>
      </c>
      <c r="K185" s="60">
        <v>-35.924418016891998</v>
      </c>
      <c r="L185" s="60">
        <v>1.90176289573879</v>
      </c>
    </row>
    <row r="186" spans="1:12">
      <c r="A186" s="58" t="s">
        <v>208</v>
      </c>
      <c r="B186" s="58" t="s">
        <v>412</v>
      </c>
      <c r="C186" s="8">
        <v>31.792999999999999</v>
      </c>
      <c r="D186" s="8">
        <v>29.354700000000001</v>
      </c>
      <c r="E186" s="8">
        <v>29.2029</v>
      </c>
      <c r="F186" s="8">
        <v>27.696899999999999</v>
      </c>
      <c r="G186" s="8">
        <v>19.949000000000002</v>
      </c>
      <c r="H186" s="8">
        <v>16.314599999999999</v>
      </c>
      <c r="I186" s="8">
        <v>22.4727</v>
      </c>
      <c r="J186" s="8">
        <v>20.177499999999998</v>
      </c>
      <c r="K186" s="8">
        <v>21.005600000000001</v>
      </c>
      <c r="L186" s="8">
        <v>18.584800000000001</v>
      </c>
    </row>
    <row r="187" spans="1:12">
      <c r="A187" s="59" t="s">
        <v>234</v>
      </c>
      <c r="B187" s="59" t="s">
        <v>412</v>
      </c>
      <c r="C187" s="60">
        <v>-15.4218793125579</v>
      </c>
      <c r="D187" s="60">
        <v>-7.6691366354816903</v>
      </c>
      <c r="E187" s="60">
        <v>-0.51716704482261</v>
      </c>
      <c r="F187" s="60">
        <v>-5.1570426915199796</v>
      </c>
      <c r="G187" s="60">
        <v>-27.9737863917826</v>
      </c>
      <c r="H187" s="60">
        <v>-18.218809258812801</v>
      </c>
      <c r="I187" s="60">
        <v>37.746436312104002</v>
      </c>
      <c r="J187" s="60">
        <v>-10.213376437436899</v>
      </c>
      <c r="K187" s="60">
        <v>4.1039621308902401</v>
      </c>
      <c r="L187" s="60">
        <v>-11.524305591591</v>
      </c>
    </row>
    <row r="188" spans="1:12">
      <c r="A188" s="58" t="s">
        <v>413</v>
      </c>
      <c r="B188" s="58" t="s">
        <v>414</v>
      </c>
      <c r="C188" s="8">
        <v>1400000</v>
      </c>
      <c r="D188" s="8">
        <v>1000000</v>
      </c>
      <c r="E188" s="8">
        <v>1600000</v>
      </c>
      <c r="F188" s="8">
        <v>2100000</v>
      </c>
      <c r="G188" s="8">
        <v>1300000</v>
      </c>
      <c r="H188" s="8">
        <v>2000000</v>
      </c>
      <c r="I188" s="8">
        <v>2000000</v>
      </c>
      <c r="J188" s="8">
        <v>2900000</v>
      </c>
      <c r="K188" s="8">
        <v>2700000</v>
      </c>
      <c r="L188" s="8">
        <v>2500000</v>
      </c>
    </row>
    <row r="189" spans="1:12">
      <c r="A189" s="59" t="s">
        <v>234</v>
      </c>
      <c r="B189" s="59" t="s">
        <v>414</v>
      </c>
      <c r="C189" s="60">
        <v>40.788415124698297</v>
      </c>
      <c r="D189" s="60">
        <v>-28.571428571428601</v>
      </c>
      <c r="E189" s="60">
        <v>60</v>
      </c>
      <c r="F189" s="60">
        <v>31.25</v>
      </c>
      <c r="G189" s="60">
        <v>-38.095238095238102</v>
      </c>
      <c r="H189" s="60">
        <v>53.846153846153797</v>
      </c>
      <c r="I189" s="60">
        <v>0</v>
      </c>
      <c r="J189" s="60">
        <v>45</v>
      </c>
      <c r="K189" s="60">
        <v>-6.8965517241379297</v>
      </c>
      <c r="L189" s="60">
        <v>-7.4074074074074101</v>
      </c>
    </row>
    <row r="190" spans="1:12">
      <c r="A190" s="58" t="s">
        <v>415</v>
      </c>
      <c r="B190" s="58" t="s">
        <v>416</v>
      </c>
      <c r="C190" s="8">
        <v>191000</v>
      </c>
      <c r="D190" s="8">
        <v>238000</v>
      </c>
      <c r="E190" s="8">
        <v>254000</v>
      </c>
      <c r="F190" s="8">
        <v>277000</v>
      </c>
      <c r="G190" s="8">
        <v>291000</v>
      </c>
      <c r="H190" s="8">
        <v>346000</v>
      </c>
      <c r="I190" s="8">
        <v>349000</v>
      </c>
      <c r="J190" s="8">
        <v>383000</v>
      </c>
      <c r="K190" s="8">
        <v>402000</v>
      </c>
      <c r="L190" s="8">
        <v>381000</v>
      </c>
    </row>
    <row r="191" spans="1:12">
      <c r="A191" s="63" t="s">
        <v>417</v>
      </c>
      <c r="B191" s="63"/>
      <c r="C191" s="63" t="s">
        <v>418</v>
      </c>
      <c r="D191" s="63"/>
      <c r="E191" s="63"/>
      <c r="F191" s="63"/>
      <c r="G191" s="63"/>
      <c r="H191" s="63"/>
      <c r="I191" s="63"/>
      <c r="J191" s="63"/>
      <c r="K191" s="63"/>
      <c r="L191" s="6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875A7-4976-2743-90B0-5E1691954857}">
  <dimension ref="A1:T139"/>
  <sheetViews>
    <sheetView topLeftCell="A66" zoomScale="130" zoomScaleNormal="130" workbookViewId="0">
      <selection activeCell="I10" sqref="I10"/>
    </sheetView>
  </sheetViews>
  <sheetFormatPr baseColWidth="10" defaultColWidth="8.83203125" defaultRowHeight="16"/>
  <cols>
    <col min="1" max="1" width="35.1640625" customWidth="1"/>
    <col min="2" max="2" width="0" hidden="1" customWidth="1"/>
    <col min="3" max="12" width="13" customWidth="1"/>
  </cols>
  <sheetData>
    <row r="1" spans="1:13">
      <c r="A1" s="49"/>
      <c r="B1" s="49"/>
      <c r="C1" s="49"/>
      <c r="D1" s="49"/>
      <c r="E1" s="49"/>
      <c r="F1" s="49"/>
      <c r="G1" s="49"/>
      <c r="H1" s="49"/>
      <c r="I1" s="49"/>
      <c r="J1" s="49"/>
      <c r="K1" s="49"/>
      <c r="L1" s="49"/>
    </row>
    <row r="2" spans="1:13" ht="20">
      <c r="A2" s="50" t="s">
        <v>419</v>
      </c>
      <c r="B2" s="50"/>
      <c r="C2" s="50"/>
      <c r="D2" s="50"/>
      <c r="E2" s="50"/>
      <c r="F2" s="50"/>
      <c r="G2" s="50"/>
      <c r="H2" s="50"/>
      <c r="I2" s="50"/>
      <c r="J2" s="50"/>
      <c r="K2" s="50"/>
      <c r="L2" s="50"/>
    </row>
    <row r="3" spans="1:13">
      <c r="A3" s="51"/>
      <c r="B3" s="51"/>
      <c r="C3" s="51"/>
      <c r="D3" s="51"/>
      <c r="E3" s="51"/>
      <c r="F3" s="51"/>
      <c r="G3" s="51"/>
      <c r="H3" s="51"/>
      <c r="I3" s="51"/>
      <c r="J3" s="51"/>
      <c r="K3" s="51"/>
      <c r="L3" s="51"/>
    </row>
    <row r="4" spans="1:13">
      <c r="A4" s="52" t="s">
        <v>29</v>
      </c>
      <c r="B4" s="52"/>
      <c r="C4" s="53" t="s">
        <v>219</v>
      </c>
      <c r="D4" s="53" t="s">
        <v>220</v>
      </c>
      <c r="E4" s="53" t="s">
        <v>50</v>
      </c>
      <c r="F4" s="53" t="s">
        <v>51</v>
      </c>
      <c r="G4" s="53" t="s">
        <v>52</v>
      </c>
      <c r="H4" s="53" t="s">
        <v>53</v>
      </c>
      <c r="I4" s="53" t="s">
        <v>54</v>
      </c>
      <c r="J4" s="53" t="s">
        <v>420</v>
      </c>
      <c r="K4" s="53" t="s">
        <v>421</v>
      </c>
      <c r="L4" s="53" t="s">
        <v>422</v>
      </c>
    </row>
    <row r="5" spans="1:13">
      <c r="A5" s="54" t="s">
        <v>221</v>
      </c>
      <c r="B5" s="54"/>
      <c r="C5" s="55" t="s">
        <v>225</v>
      </c>
      <c r="D5" s="55" t="s">
        <v>226</v>
      </c>
      <c r="E5" s="55" t="s">
        <v>227</v>
      </c>
      <c r="F5" s="55" t="s">
        <v>228</v>
      </c>
      <c r="G5" s="55" t="s">
        <v>229</v>
      </c>
      <c r="H5" s="55" t="s">
        <v>230</v>
      </c>
      <c r="I5" s="55" t="s">
        <v>231</v>
      </c>
      <c r="J5" s="55" t="s">
        <v>231</v>
      </c>
      <c r="K5" s="55" t="s">
        <v>423</v>
      </c>
      <c r="L5" s="55" t="s">
        <v>424</v>
      </c>
    </row>
    <row r="6" spans="1:13">
      <c r="A6" s="56" t="s">
        <v>41</v>
      </c>
      <c r="B6" s="56" t="s">
        <v>425</v>
      </c>
      <c r="C6" s="61">
        <v>22386800</v>
      </c>
      <c r="D6" s="61">
        <v>24719500</v>
      </c>
      <c r="E6" s="61">
        <v>26508600</v>
      </c>
      <c r="F6" s="61">
        <v>23518000</v>
      </c>
      <c r="G6" s="61">
        <v>29060600</v>
      </c>
      <c r="H6" s="61">
        <v>32250300</v>
      </c>
      <c r="I6" s="61">
        <v>35975600</v>
      </c>
      <c r="J6" s="67">
        <v>35975600</v>
      </c>
      <c r="K6" s="61">
        <v>39475971</v>
      </c>
      <c r="L6" s="61">
        <v>43469968</v>
      </c>
    </row>
    <row r="7" spans="1:13">
      <c r="A7" s="59" t="s">
        <v>234</v>
      </c>
      <c r="B7" s="59" t="s">
        <v>425</v>
      </c>
      <c r="C7" s="60">
        <v>5.023949</v>
      </c>
      <c r="D7" s="60">
        <v>10.419980000000001</v>
      </c>
      <c r="E7" s="60">
        <v>7.2376060000000004</v>
      </c>
      <c r="F7" s="60">
        <v>-11.281622</v>
      </c>
      <c r="G7" s="60">
        <v>23.56748</v>
      </c>
      <c r="H7" s="60">
        <v>10.976029</v>
      </c>
      <c r="I7" s="60">
        <v>11.551209999999999</v>
      </c>
      <c r="J7" s="66">
        <v>11.5512103763376</v>
      </c>
      <c r="K7" s="60">
        <v>9.7298474521620193</v>
      </c>
      <c r="L7" s="60">
        <v>10.117539604029</v>
      </c>
      <c r="M7" s="69">
        <f>AVERAGE(C7:I7)</f>
        <v>8.2135188571428568</v>
      </c>
    </row>
    <row r="8" spans="1:13">
      <c r="A8" s="58" t="s">
        <v>426</v>
      </c>
      <c r="B8" s="58" t="s">
        <v>427</v>
      </c>
      <c r="C8" s="8">
        <v>20005700</v>
      </c>
      <c r="D8" s="8">
        <v>22067300</v>
      </c>
      <c r="E8" s="8">
        <v>23633600</v>
      </c>
      <c r="F8" s="8">
        <v>21190900</v>
      </c>
      <c r="G8" s="8">
        <v>26377000</v>
      </c>
      <c r="H8" s="8">
        <v>28594800</v>
      </c>
      <c r="I8" s="8">
        <v>31462900</v>
      </c>
      <c r="J8" s="65">
        <v>31462900</v>
      </c>
      <c r="K8" s="8"/>
      <c r="L8" s="8"/>
    </row>
    <row r="9" spans="1:13">
      <c r="A9" s="59" t="s">
        <v>234</v>
      </c>
      <c r="B9" s="59" t="s">
        <v>427</v>
      </c>
      <c r="C9" s="60">
        <v>4.4046196318698199</v>
      </c>
      <c r="D9" s="60">
        <v>10.305063057028701</v>
      </c>
      <c r="E9" s="60">
        <v>7.0978325395494704</v>
      </c>
      <c r="F9" s="60">
        <v>-10.335708482837999</v>
      </c>
      <c r="G9" s="60">
        <v>24.473240872261201</v>
      </c>
      <c r="H9" s="60">
        <v>8.4080827994085698</v>
      </c>
      <c r="I9" s="60">
        <v>10.030145341111</v>
      </c>
      <c r="J9" s="66">
        <v>10.030530133206501</v>
      </c>
      <c r="K9" s="60"/>
      <c r="L9" s="60"/>
    </row>
    <row r="10" spans="1:13">
      <c r="A10" s="58" t="s">
        <v>428</v>
      </c>
      <c r="B10" s="58" t="s">
        <v>429</v>
      </c>
      <c r="C10" s="8">
        <v>2381100</v>
      </c>
      <c r="D10" s="8">
        <v>2652200</v>
      </c>
      <c r="E10" s="8">
        <v>2875000</v>
      </c>
      <c r="F10" s="8">
        <v>2327100</v>
      </c>
      <c r="G10" s="8">
        <v>2683600</v>
      </c>
      <c r="H10" s="8">
        <v>3655500</v>
      </c>
      <c r="I10" s="8">
        <v>4512700</v>
      </c>
      <c r="J10" s="65">
        <v>4512700</v>
      </c>
      <c r="K10" s="8"/>
      <c r="L10" s="8"/>
    </row>
    <row r="11" spans="1:13">
      <c r="A11" s="59" t="s">
        <v>234</v>
      </c>
      <c r="B11" s="59" t="s">
        <v>429</v>
      </c>
      <c r="C11" s="60">
        <v>10.5329124500975</v>
      </c>
      <c r="D11" s="60">
        <v>11.3854940993658</v>
      </c>
      <c r="E11" s="60">
        <v>8.4005731091169693</v>
      </c>
      <c r="F11" s="60">
        <v>-19.057391304347799</v>
      </c>
      <c r="G11" s="60">
        <v>15.3194963688711</v>
      </c>
      <c r="H11" s="60">
        <v>36.216276643314998</v>
      </c>
      <c r="I11" s="60">
        <v>23.449596498426999</v>
      </c>
      <c r="J11" s="66">
        <v>23.4462194988511</v>
      </c>
      <c r="K11" s="60"/>
      <c r="L11" s="60"/>
    </row>
    <row r="12" spans="1:13">
      <c r="A12" s="58" t="s">
        <v>430</v>
      </c>
      <c r="B12" s="58" t="s">
        <v>431</v>
      </c>
      <c r="C12" s="8">
        <v>15552200</v>
      </c>
      <c r="D12" s="8">
        <v>17402900</v>
      </c>
      <c r="E12" s="8">
        <v>19020500</v>
      </c>
      <c r="F12" s="8">
        <v>18458900</v>
      </c>
      <c r="G12" s="8">
        <v>20652000</v>
      </c>
      <c r="H12" s="8">
        <v>23879200</v>
      </c>
      <c r="I12" s="8">
        <v>26129400</v>
      </c>
      <c r="J12" s="65">
        <v>26129400</v>
      </c>
      <c r="K12" s="8"/>
      <c r="L12" s="8"/>
    </row>
    <row r="13" spans="1:13">
      <c r="A13" s="59" t="s">
        <v>234</v>
      </c>
      <c r="B13" s="59" t="s">
        <v>431</v>
      </c>
      <c r="C13" s="60">
        <v>6.7170779999999999</v>
      </c>
      <c r="D13" s="60">
        <v>11.899924</v>
      </c>
      <c r="E13" s="60">
        <v>9.2950029999999995</v>
      </c>
      <c r="F13" s="60">
        <v>-2.952604</v>
      </c>
      <c r="G13" s="60">
        <v>11.880990000000001</v>
      </c>
      <c r="H13" s="60">
        <v>15.626574</v>
      </c>
      <c r="I13" s="60">
        <v>9.4232639999999996</v>
      </c>
      <c r="J13" s="66">
        <v>9.4232637609300305</v>
      </c>
      <c r="K13" s="60"/>
      <c r="L13" s="60"/>
    </row>
    <row r="14" spans="1:13">
      <c r="A14" s="58" t="s">
        <v>432</v>
      </c>
      <c r="B14" s="58" t="s">
        <v>433</v>
      </c>
      <c r="C14" s="8">
        <v>15552200</v>
      </c>
      <c r="D14" s="8">
        <v>17402900</v>
      </c>
      <c r="E14" s="8">
        <v>19020500</v>
      </c>
      <c r="F14" s="8">
        <v>18458900</v>
      </c>
      <c r="G14" s="8">
        <v>20652000</v>
      </c>
      <c r="H14" s="8">
        <v>23879200</v>
      </c>
      <c r="I14" s="8">
        <v>26129400</v>
      </c>
      <c r="J14" s="65">
        <v>26129400</v>
      </c>
      <c r="K14" s="8"/>
      <c r="L14" s="8"/>
    </row>
    <row r="15" spans="1:13">
      <c r="A15" s="59" t="s">
        <v>234</v>
      </c>
      <c r="B15" s="59" t="s">
        <v>433</v>
      </c>
      <c r="C15" s="60">
        <v>6.7170784928602396</v>
      </c>
      <c r="D15" s="60">
        <v>11.899924126490101</v>
      </c>
      <c r="E15" s="60">
        <v>9.2950025570450805</v>
      </c>
      <c r="F15" s="60">
        <v>-2.9526037696169798</v>
      </c>
      <c r="G15" s="60">
        <v>11.8809896581053</v>
      </c>
      <c r="H15" s="60">
        <v>15.6265736974627</v>
      </c>
      <c r="I15" s="60">
        <v>9.4232637609300198</v>
      </c>
      <c r="J15" s="66">
        <v>9.4232637609300305</v>
      </c>
      <c r="K15" s="60"/>
      <c r="L15" s="60"/>
    </row>
    <row r="16" spans="1:13">
      <c r="A16" s="56" t="s">
        <v>102</v>
      </c>
      <c r="B16" s="56" t="s">
        <v>434</v>
      </c>
      <c r="C16" s="61">
        <v>6834600</v>
      </c>
      <c r="D16" s="61">
        <v>7316600</v>
      </c>
      <c r="E16" s="61">
        <v>7488100</v>
      </c>
      <c r="F16" s="61">
        <v>5059100</v>
      </c>
      <c r="G16" s="61">
        <v>8408600</v>
      </c>
      <c r="H16" s="61">
        <v>8371100</v>
      </c>
      <c r="I16" s="61">
        <v>9846200</v>
      </c>
      <c r="J16" s="67">
        <v>9846200</v>
      </c>
      <c r="K16" s="61">
        <v>26917875.10548</v>
      </c>
      <c r="L16" s="61">
        <v>29572619.2304</v>
      </c>
    </row>
    <row r="17" spans="1:12">
      <c r="A17" s="59" t="s">
        <v>234</v>
      </c>
      <c r="B17" s="59" t="s">
        <v>434</v>
      </c>
      <c r="C17" s="60">
        <v>1.36445881410732</v>
      </c>
      <c r="D17" s="60">
        <v>7.0523512714716299</v>
      </c>
      <c r="E17" s="60">
        <v>2.3439849110242501</v>
      </c>
      <c r="F17" s="60">
        <v>-32.438135174476798</v>
      </c>
      <c r="G17" s="60">
        <v>66.207428198691503</v>
      </c>
      <c r="H17" s="60">
        <v>-0.44597198106700298</v>
      </c>
      <c r="I17" s="60">
        <v>17.621340086726999</v>
      </c>
      <c r="J17" s="66">
        <v>17.6213404297661</v>
      </c>
      <c r="K17" s="60">
        <v>173.38338755540201</v>
      </c>
      <c r="L17" s="60">
        <v>9.8623836930558504</v>
      </c>
    </row>
    <row r="18" spans="1:12">
      <c r="A18" s="58" t="s">
        <v>435</v>
      </c>
      <c r="B18" s="58" t="s">
        <v>436</v>
      </c>
      <c r="C18" s="8">
        <v>391400</v>
      </c>
      <c r="D18" s="8">
        <v>301200</v>
      </c>
      <c r="E18" s="8">
        <v>298000</v>
      </c>
      <c r="F18" s="8">
        <v>322500</v>
      </c>
      <c r="G18" s="8">
        <v>385300</v>
      </c>
      <c r="H18" s="8">
        <v>234100</v>
      </c>
      <c r="I18" s="8">
        <v>298400</v>
      </c>
      <c r="J18" s="65">
        <v>298300</v>
      </c>
      <c r="K18" s="8"/>
      <c r="L18" s="8"/>
    </row>
    <row r="19" spans="1:12">
      <c r="A19" s="59" t="s">
        <v>234</v>
      </c>
      <c r="B19" s="59" t="s">
        <v>436</v>
      </c>
      <c r="C19" s="60">
        <v>23.0044</v>
      </c>
      <c r="D19" s="60">
        <v>-23.045477999999999</v>
      </c>
      <c r="E19" s="60">
        <v>-1.0624169999999999</v>
      </c>
      <c r="F19" s="60">
        <v>8.2214770000000001</v>
      </c>
      <c r="G19" s="60">
        <v>19.472867999999998</v>
      </c>
      <c r="H19" s="60">
        <v>-39.242148999999998</v>
      </c>
      <c r="I19" s="60">
        <v>27.466894</v>
      </c>
      <c r="J19" s="66">
        <v>27.4241777018368</v>
      </c>
      <c r="K19" s="60"/>
      <c r="L19" s="60"/>
    </row>
    <row r="20" spans="1:12">
      <c r="A20" s="58" t="s">
        <v>437</v>
      </c>
      <c r="B20" s="58" t="s">
        <v>438</v>
      </c>
      <c r="C20" s="8">
        <v>2874800</v>
      </c>
      <c r="D20" s="8">
        <v>3122800</v>
      </c>
      <c r="E20" s="8">
        <v>3215600</v>
      </c>
      <c r="F20" s="8">
        <v>3248400</v>
      </c>
      <c r="G20" s="8">
        <v>3576000</v>
      </c>
      <c r="H20" s="8">
        <v>3750200</v>
      </c>
      <c r="I20" s="8">
        <v>4343200</v>
      </c>
      <c r="J20" s="65">
        <v>4321900</v>
      </c>
      <c r="K20" s="8"/>
      <c r="L20" s="8"/>
    </row>
    <row r="21" spans="1:12">
      <c r="A21" s="59" t="s">
        <v>234</v>
      </c>
      <c r="B21" s="59" t="s">
        <v>438</v>
      </c>
      <c r="C21" s="60">
        <v>-0.48807499999999998</v>
      </c>
      <c r="D21" s="60">
        <v>8.6266870000000004</v>
      </c>
      <c r="E21" s="60">
        <v>2.971692</v>
      </c>
      <c r="F21" s="60">
        <v>1.020027</v>
      </c>
      <c r="G21" s="60">
        <v>10.084965</v>
      </c>
      <c r="H21" s="60">
        <v>4.8713649999999999</v>
      </c>
      <c r="I21" s="60">
        <v>15.81249</v>
      </c>
      <c r="J21" s="66">
        <v>16.827053035627401</v>
      </c>
      <c r="K21" s="60"/>
      <c r="L21" s="60"/>
    </row>
    <row r="22" spans="1:12">
      <c r="A22" s="58" t="s">
        <v>439</v>
      </c>
      <c r="B22" s="58" t="s">
        <v>440</v>
      </c>
      <c r="C22" s="8">
        <v>1691000</v>
      </c>
      <c r="D22" s="8">
        <v>1968500</v>
      </c>
      <c r="E22" s="8">
        <v>2029000</v>
      </c>
      <c r="F22" s="8">
        <v>1922200</v>
      </c>
      <c r="G22" s="8">
        <v>2215500</v>
      </c>
      <c r="H22" s="8">
        <v>2448700</v>
      </c>
      <c r="I22" s="8">
        <v>2949100</v>
      </c>
      <c r="J22" s="65">
        <v>2441400</v>
      </c>
      <c r="K22" s="8"/>
      <c r="L22" s="8"/>
    </row>
    <row r="23" spans="1:12">
      <c r="A23" s="59" t="s">
        <v>234</v>
      </c>
      <c r="B23" s="59" t="s">
        <v>440</v>
      </c>
      <c r="C23" s="60">
        <v>2.0211161387632002</v>
      </c>
      <c r="D23" s="60">
        <v>16.4104080425784</v>
      </c>
      <c r="E23" s="60">
        <v>3.0734061468122902</v>
      </c>
      <c r="F23" s="60">
        <v>-5.2636766880236499</v>
      </c>
      <c r="G23" s="60">
        <v>15.258557902403499</v>
      </c>
      <c r="H23" s="60">
        <v>10.5258406680208</v>
      </c>
      <c r="I23" s="60">
        <v>20.4353330338547</v>
      </c>
      <c r="J23" s="66">
        <v>20.1476377952756</v>
      </c>
      <c r="K23" s="60"/>
      <c r="L23" s="60"/>
    </row>
    <row r="24" spans="1:12">
      <c r="A24" s="59" t="s">
        <v>441</v>
      </c>
      <c r="B24" s="59" t="s">
        <v>442</v>
      </c>
      <c r="C24" s="60">
        <v>282600</v>
      </c>
      <c r="D24" s="60">
        <v>260300</v>
      </c>
      <c r="E24" s="60">
        <v>245700</v>
      </c>
      <c r="F24" s="60">
        <v>258800</v>
      </c>
      <c r="G24" s="60">
        <v>305100</v>
      </c>
      <c r="H24" s="60">
        <v>416700</v>
      </c>
      <c r="I24" s="60">
        <v>507800</v>
      </c>
      <c r="J24" s="66"/>
      <c r="K24" s="60"/>
      <c r="L24" s="60"/>
    </row>
    <row r="25" spans="1:12">
      <c r="A25" s="59" t="s">
        <v>234</v>
      </c>
      <c r="B25" s="59" t="s">
        <v>442</v>
      </c>
      <c r="C25" s="60">
        <v>13.6765888978278</v>
      </c>
      <c r="D25" s="60">
        <v>-7.8910120311394198</v>
      </c>
      <c r="E25" s="60">
        <v>-5.6089127929312399</v>
      </c>
      <c r="F25" s="60">
        <v>5.33170533170534</v>
      </c>
      <c r="G25" s="60">
        <v>17.890262751159199</v>
      </c>
      <c r="H25" s="60">
        <v>36.578171091445398</v>
      </c>
      <c r="I25" s="60">
        <v>21.8622510199184</v>
      </c>
      <c r="J25" s="66"/>
      <c r="K25" s="60"/>
      <c r="L25" s="60"/>
    </row>
    <row r="26" spans="1:12">
      <c r="A26" s="59" t="s">
        <v>443</v>
      </c>
      <c r="B26" s="59" t="s">
        <v>444</v>
      </c>
      <c r="C26" s="60">
        <v>1408400</v>
      </c>
      <c r="D26" s="60">
        <v>1708200</v>
      </c>
      <c r="E26" s="60">
        <v>1783300</v>
      </c>
      <c r="F26" s="60">
        <v>1663400</v>
      </c>
      <c r="G26" s="60">
        <v>1910400</v>
      </c>
      <c r="H26" s="60">
        <v>2032000</v>
      </c>
      <c r="I26" s="60">
        <v>2441300</v>
      </c>
      <c r="J26" s="66">
        <v>2441400</v>
      </c>
      <c r="K26" s="60"/>
      <c r="L26" s="60"/>
    </row>
    <row r="27" spans="1:12">
      <c r="A27" s="59" t="s">
        <v>234</v>
      </c>
      <c r="B27" s="59" t="s">
        <v>444</v>
      </c>
      <c r="C27" s="60">
        <v>-3.5488679111363497E-2</v>
      </c>
      <c r="D27" s="60">
        <v>21.2865663163874</v>
      </c>
      <c r="E27" s="60">
        <v>4.3964406978105597</v>
      </c>
      <c r="F27" s="60">
        <v>-6.7234901586945499</v>
      </c>
      <c r="G27" s="60">
        <v>14.8491042443189</v>
      </c>
      <c r="H27" s="60">
        <v>6.3651591289782203</v>
      </c>
      <c r="I27" s="60">
        <v>20.142716535433099</v>
      </c>
      <c r="J27" s="66">
        <v>20.1476377952756</v>
      </c>
      <c r="K27" s="60"/>
      <c r="L27" s="60"/>
    </row>
    <row r="28" spans="1:12">
      <c r="A28" s="58" t="s">
        <v>445</v>
      </c>
      <c r="B28" s="58" t="s">
        <v>446</v>
      </c>
      <c r="C28" s="8">
        <v>0</v>
      </c>
      <c r="D28" s="8">
        <v>0</v>
      </c>
      <c r="E28" s="8" t="s">
        <v>261</v>
      </c>
      <c r="F28" s="8">
        <v>0</v>
      </c>
      <c r="G28" s="8">
        <v>0</v>
      </c>
      <c r="H28" s="8">
        <v>0</v>
      </c>
      <c r="I28" s="8">
        <v>0</v>
      </c>
      <c r="J28" s="65"/>
      <c r="K28" s="8"/>
      <c r="L28" s="8"/>
    </row>
    <row r="29" spans="1:12">
      <c r="A29" s="58" t="s">
        <v>447</v>
      </c>
      <c r="B29" s="58" t="s">
        <v>448</v>
      </c>
      <c r="C29" s="8">
        <v>1011400</v>
      </c>
      <c r="D29" s="8">
        <v>1247000</v>
      </c>
      <c r="E29" s="8">
        <v>1377300</v>
      </c>
      <c r="F29" s="8">
        <v>1431300</v>
      </c>
      <c r="G29" s="8">
        <v>1441700</v>
      </c>
      <c r="H29" s="8">
        <v>1447900</v>
      </c>
      <c r="I29" s="8">
        <v>1362600</v>
      </c>
      <c r="J29" s="65">
        <v>1382200</v>
      </c>
      <c r="K29" s="8"/>
      <c r="L29" s="8"/>
    </row>
    <row r="30" spans="1:12">
      <c r="A30" s="59" t="s">
        <v>234</v>
      </c>
      <c r="B30" s="59" t="s">
        <v>448</v>
      </c>
      <c r="C30" s="60">
        <v>3.1199021207177799</v>
      </c>
      <c r="D30" s="60">
        <v>23.2944433458572</v>
      </c>
      <c r="E30" s="60">
        <v>10.449077786687999</v>
      </c>
      <c r="F30" s="60">
        <v>3.9207144412981898</v>
      </c>
      <c r="G30" s="60">
        <v>0.72661217075386697</v>
      </c>
      <c r="H30" s="60">
        <v>0.430047860165086</v>
      </c>
      <c r="I30" s="60">
        <v>-5.8912908350024296</v>
      </c>
      <c r="J30" s="66">
        <v>-4.5376061882726901</v>
      </c>
      <c r="K30" s="60"/>
      <c r="L30" s="60"/>
    </row>
    <row r="31" spans="1:12">
      <c r="A31" s="58" t="s">
        <v>449</v>
      </c>
      <c r="B31" s="58" t="s">
        <v>450</v>
      </c>
      <c r="C31" s="8">
        <v>172400</v>
      </c>
      <c r="D31" s="8">
        <v>-92700</v>
      </c>
      <c r="E31" s="8">
        <v>-190700</v>
      </c>
      <c r="F31" s="8">
        <v>-105100</v>
      </c>
      <c r="G31" s="8">
        <v>-81200</v>
      </c>
      <c r="H31" s="8">
        <v>-146400</v>
      </c>
      <c r="I31" s="8">
        <v>31500</v>
      </c>
      <c r="J31" s="65">
        <v>498300</v>
      </c>
      <c r="K31" s="8"/>
      <c r="L31" s="8"/>
    </row>
    <row r="32" spans="1:12">
      <c r="A32" s="59" t="s">
        <v>234</v>
      </c>
      <c r="B32" s="59" t="s">
        <v>450</v>
      </c>
      <c r="C32" s="60">
        <v>-31.205107741420601</v>
      </c>
      <c r="D32" s="60" t="s">
        <v>261</v>
      </c>
      <c r="E32" s="60">
        <v>-105.71736785329</v>
      </c>
      <c r="F32" s="60">
        <v>44.887257472469798</v>
      </c>
      <c r="G32" s="60">
        <v>22.740247383444299</v>
      </c>
      <c r="H32" s="60">
        <v>-80.295566502463103</v>
      </c>
      <c r="I32" s="60" t="s">
        <v>261</v>
      </c>
      <c r="J32" s="66">
        <v>-11.3081166272655</v>
      </c>
      <c r="K32" s="60"/>
      <c r="L32" s="60"/>
    </row>
    <row r="33" spans="1:20">
      <c r="A33" s="56" t="s">
        <v>451</v>
      </c>
      <c r="B33" s="56" t="s">
        <v>452</v>
      </c>
      <c r="C33" s="61">
        <v>4351200</v>
      </c>
      <c r="D33" s="61">
        <v>4495000</v>
      </c>
      <c r="E33" s="61">
        <v>4570500</v>
      </c>
      <c r="F33" s="61">
        <v>2133200</v>
      </c>
      <c r="G33" s="61">
        <v>5217900</v>
      </c>
      <c r="H33" s="61">
        <v>4855000</v>
      </c>
      <c r="I33" s="61">
        <v>5801400</v>
      </c>
      <c r="J33" s="67">
        <v>5822600</v>
      </c>
      <c r="K33" s="61">
        <v>6668344</v>
      </c>
      <c r="L33" s="61">
        <v>7617241</v>
      </c>
    </row>
    <row r="34" spans="1:20">
      <c r="A34" s="59" t="s">
        <v>234</v>
      </c>
      <c r="B34" s="59" t="s">
        <v>452</v>
      </c>
      <c r="C34" s="60">
        <v>4.2978019999999999</v>
      </c>
      <c r="D34" s="60">
        <v>3.3048350000000002</v>
      </c>
      <c r="E34" s="60">
        <v>1.6796439999999999</v>
      </c>
      <c r="F34" s="60">
        <v>-53.326770000000003</v>
      </c>
      <c r="G34" s="60">
        <v>144.60435000000001</v>
      </c>
      <c r="H34" s="60">
        <v>-6.9549050000000001</v>
      </c>
      <c r="I34" s="60">
        <v>19.493306</v>
      </c>
      <c r="J34" s="66">
        <v>18.6880834930083</v>
      </c>
      <c r="K34" s="60">
        <v>14.943703244044499</v>
      </c>
      <c r="L34" s="60">
        <v>14.2298747635095</v>
      </c>
    </row>
    <row r="35" spans="1:20">
      <c r="A35" s="58" t="s">
        <v>453</v>
      </c>
      <c r="B35" s="58" t="s">
        <v>454</v>
      </c>
      <c r="C35" s="8">
        <v>-89300</v>
      </c>
      <c r="D35" s="8">
        <v>-21100</v>
      </c>
      <c r="E35" s="8">
        <v>234500</v>
      </c>
      <c r="F35" s="8">
        <v>397300</v>
      </c>
      <c r="G35" s="8">
        <v>379700</v>
      </c>
      <c r="H35" s="8">
        <v>385900</v>
      </c>
      <c r="I35" s="8">
        <v>468900</v>
      </c>
      <c r="J35" s="65">
        <v>468700</v>
      </c>
      <c r="K35" s="8"/>
      <c r="L35" s="8"/>
    </row>
    <row r="36" spans="1:20">
      <c r="A36" s="59" t="s">
        <v>234</v>
      </c>
      <c r="B36" s="59" t="s">
        <v>454</v>
      </c>
      <c r="C36" s="60">
        <v>-319.24882629107998</v>
      </c>
      <c r="D36" s="60">
        <v>76.371780515117607</v>
      </c>
      <c r="E36" s="60" t="s">
        <v>261</v>
      </c>
      <c r="F36" s="60">
        <v>69.424307036247299</v>
      </c>
      <c r="G36" s="60">
        <v>-4.4299018374024701</v>
      </c>
      <c r="H36" s="60">
        <v>1.63286805372662</v>
      </c>
      <c r="I36" s="60">
        <v>21.5081627364602</v>
      </c>
      <c r="J36" s="66">
        <v>21.487817522032199</v>
      </c>
      <c r="K36" s="60"/>
      <c r="L36" s="60"/>
    </row>
    <row r="37" spans="1:20">
      <c r="A37" s="58" t="s">
        <v>455</v>
      </c>
      <c r="B37" s="58" t="s">
        <v>456</v>
      </c>
      <c r="C37" s="8" t="s">
        <v>261</v>
      </c>
      <c r="D37" s="8" t="s">
        <v>261</v>
      </c>
      <c r="E37" s="8" t="s">
        <v>261</v>
      </c>
      <c r="F37" s="8" t="s">
        <v>261</v>
      </c>
      <c r="G37" s="8" t="s">
        <v>261</v>
      </c>
      <c r="H37" s="8">
        <v>482900</v>
      </c>
      <c r="I37" s="8">
        <v>550100</v>
      </c>
      <c r="J37" s="65">
        <v>550100</v>
      </c>
      <c r="K37" s="8"/>
      <c r="L37" s="8"/>
    </row>
    <row r="38" spans="1:20">
      <c r="A38" s="59" t="s">
        <v>234</v>
      </c>
      <c r="B38" s="59" t="s">
        <v>456</v>
      </c>
      <c r="C38" s="60" t="s">
        <v>261</v>
      </c>
      <c r="D38" s="60" t="s">
        <v>261</v>
      </c>
      <c r="E38" s="60" t="s">
        <v>261</v>
      </c>
      <c r="F38" s="60" t="s">
        <v>261</v>
      </c>
      <c r="G38" s="60" t="s">
        <v>261</v>
      </c>
      <c r="H38" s="60" t="s">
        <v>261</v>
      </c>
      <c r="I38" s="60">
        <v>13.915924622075</v>
      </c>
      <c r="J38" s="66">
        <v>121.45732689211</v>
      </c>
      <c r="K38" s="60"/>
      <c r="L38" s="60"/>
    </row>
    <row r="39" spans="1:20">
      <c r="A39" s="59" t="s">
        <v>457</v>
      </c>
      <c r="B39" s="59" t="s">
        <v>458</v>
      </c>
      <c r="C39" s="60">
        <v>92500</v>
      </c>
      <c r="D39" s="60">
        <v>170300</v>
      </c>
      <c r="E39" s="60">
        <v>331000</v>
      </c>
      <c r="F39" s="60">
        <v>437000</v>
      </c>
      <c r="G39" s="60">
        <v>469800</v>
      </c>
      <c r="H39" s="60">
        <v>482900</v>
      </c>
      <c r="I39" s="60">
        <v>550100</v>
      </c>
      <c r="J39" s="66">
        <v>550100</v>
      </c>
      <c r="K39" s="60"/>
      <c r="L39" s="60"/>
      <c r="N39" s="75">
        <f>(E39-D39)/D39</f>
        <v>0.94362889019377572</v>
      </c>
      <c r="O39" s="75">
        <f>(F39-E39)/E39</f>
        <v>0.3202416918429003</v>
      </c>
      <c r="P39" s="75">
        <f>(G39-F39)/F39</f>
        <v>7.505720823798627E-2</v>
      </c>
      <c r="Q39" s="75">
        <f>(H39-G39)/G39</f>
        <v>2.7884206045125585E-2</v>
      </c>
      <c r="R39" s="75">
        <f>(I39-H39)/H39</f>
        <v>0.13915924622074963</v>
      </c>
      <c r="S39" s="75"/>
      <c r="T39" s="75">
        <f>AVERAGE(N39:R39)</f>
        <v>0.3011942485081075</v>
      </c>
    </row>
    <row r="40" spans="1:20">
      <c r="A40" s="59" t="s">
        <v>234</v>
      </c>
      <c r="B40" s="59" t="s">
        <v>458</v>
      </c>
      <c r="C40" s="60">
        <v>13.776138</v>
      </c>
      <c r="D40" s="60">
        <v>84.108108000000001</v>
      </c>
      <c r="E40" s="60">
        <v>94.362888999999996</v>
      </c>
      <c r="F40" s="60">
        <v>32.024169000000001</v>
      </c>
      <c r="G40" s="60">
        <v>7.5057210000000003</v>
      </c>
      <c r="H40" s="60">
        <v>2.788421</v>
      </c>
      <c r="I40" s="60">
        <v>13.915925</v>
      </c>
      <c r="J40" s="66">
        <v>13.9395194697597</v>
      </c>
      <c r="K40" s="60"/>
      <c r="L40" s="60"/>
    </row>
    <row r="41" spans="1:20">
      <c r="A41" s="59" t="s">
        <v>459</v>
      </c>
      <c r="B41" s="59" t="s">
        <v>460</v>
      </c>
      <c r="C41" s="60" t="s">
        <v>261</v>
      </c>
      <c r="D41" s="60" t="s">
        <v>261</v>
      </c>
      <c r="E41" s="60" t="s">
        <v>261</v>
      </c>
      <c r="F41" s="60" t="s">
        <v>261</v>
      </c>
      <c r="G41" s="60" t="s">
        <v>261</v>
      </c>
      <c r="H41" s="60">
        <v>0</v>
      </c>
      <c r="I41" s="60">
        <v>0</v>
      </c>
      <c r="J41" s="66">
        <v>0</v>
      </c>
      <c r="K41" s="60"/>
      <c r="L41" s="60"/>
    </row>
    <row r="42" spans="1:20">
      <c r="A42" s="58" t="s">
        <v>461</v>
      </c>
      <c r="B42" s="58" t="s">
        <v>462</v>
      </c>
      <c r="C42" s="8">
        <v>0</v>
      </c>
      <c r="D42" s="8">
        <v>0</v>
      </c>
      <c r="E42" s="8">
        <v>0</v>
      </c>
      <c r="F42" s="8">
        <v>0</v>
      </c>
      <c r="G42" s="8">
        <v>0</v>
      </c>
      <c r="H42" s="8">
        <v>0</v>
      </c>
      <c r="I42" s="8">
        <v>0</v>
      </c>
      <c r="J42" s="65"/>
      <c r="K42" s="8"/>
      <c r="L42" s="8"/>
    </row>
    <row r="43" spans="1:20">
      <c r="A43" s="58" t="s">
        <v>463</v>
      </c>
      <c r="B43" s="58" t="s">
        <v>464</v>
      </c>
      <c r="C43" s="8">
        <v>-181800</v>
      </c>
      <c r="D43" s="8">
        <v>-191400</v>
      </c>
      <c r="E43" s="8">
        <v>-96500</v>
      </c>
      <c r="F43" s="8">
        <v>-39700</v>
      </c>
      <c r="G43" s="8">
        <v>-90100</v>
      </c>
      <c r="H43" s="8">
        <v>-97000</v>
      </c>
      <c r="I43" s="8">
        <v>-81200</v>
      </c>
      <c r="J43" s="65">
        <v>-81400</v>
      </c>
      <c r="K43" s="8"/>
      <c r="L43" s="8"/>
    </row>
    <row r="44" spans="1:20">
      <c r="A44" s="59" t="s">
        <v>234</v>
      </c>
      <c r="B44" s="59" t="s">
        <v>464</v>
      </c>
      <c r="C44" s="60">
        <v>-77.192982456140399</v>
      </c>
      <c r="D44" s="60">
        <v>-5.2805280528052796</v>
      </c>
      <c r="E44" s="60">
        <v>49.582027168234099</v>
      </c>
      <c r="F44" s="60">
        <v>58.860103626943001</v>
      </c>
      <c r="G44" s="60">
        <v>-126.952141057934</v>
      </c>
      <c r="H44" s="60">
        <v>-7.6581576026637102</v>
      </c>
      <c r="I44" s="60">
        <v>16.2886597938144</v>
      </c>
      <c r="J44" s="66">
        <v>16.082474226804099</v>
      </c>
      <c r="K44" s="60"/>
      <c r="L44" s="60"/>
      <c r="N44" s="69">
        <f>AVERAGE(E44:I44)</f>
        <v>-1.9759016143212436</v>
      </c>
    </row>
    <row r="45" spans="1:20">
      <c r="A45" s="56" t="s">
        <v>465</v>
      </c>
      <c r="B45" s="56" t="s">
        <v>466</v>
      </c>
      <c r="C45" s="61">
        <v>4440500</v>
      </c>
      <c r="D45" s="61">
        <v>4516100</v>
      </c>
      <c r="E45" s="61">
        <v>4336000</v>
      </c>
      <c r="F45" s="61">
        <v>1735900</v>
      </c>
      <c r="G45" s="61">
        <v>4838200</v>
      </c>
      <c r="H45" s="61">
        <v>4469100</v>
      </c>
      <c r="I45" s="61">
        <v>5332500</v>
      </c>
      <c r="J45" s="67">
        <v>5353899.9267578097</v>
      </c>
      <c r="K45" s="61">
        <v>6197963</v>
      </c>
      <c r="L45" s="61">
        <v>7103440</v>
      </c>
    </row>
    <row r="46" spans="1:20">
      <c r="A46" s="59" t="s">
        <v>234</v>
      </c>
      <c r="B46" s="59" t="s">
        <v>466</v>
      </c>
      <c r="C46" s="60">
        <v>5.8976438042545096</v>
      </c>
      <c r="D46" s="60">
        <v>1.70251097849342</v>
      </c>
      <c r="E46" s="60">
        <v>-3.9879542082770598</v>
      </c>
      <c r="F46" s="60">
        <v>-59.965405904058997</v>
      </c>
      <c r="G46" s="60">
        <v>178.714211648136</v>
      </c>
      <c r="H46" s="60">
        <v>-7.6288702409987099</v>
      </c>
      <c r="I46" s="60">
        <v>19.319326038799701</v>
      </c>
      <c r="J46" s="66">
        <v>27.649521178263399</v>
      </c>
      <c r="K46" s="60">
        <v>16.229967182372199</v>
      </c>
      <c r="L46" s="60">
        <v>14.609267593239901</v>
      </c>
    </row>
    <row r="47" spans="1:20">
      <c r="A47" s="58" t="s">
        <v>467</v>
      </c>
      <c r="B47" s="58" t="s">
        <v>468</v>
      </c>
      <c r="C47" s="8">
        <v>123000</v>
      </c>
      <c r="D47" s="8">
        <v>-1263900</v>
      </c>
      <c r="E47" s="8">
        <v>-130200</v>
      </c>
      <c r="F47" s="8">
        <v>571500</v>
      </c>
      <c r="G47" s="8">
        <v>-518700</v>
      </c>
      <c r="H47" s="8">
        <v>237200</v>
      </c>
      <c r="I47" s="8">
        <v>-69400</v>
      </c>
      <c r="J47" s="65">
        <v>-48100.000858306899</v>
      </c>
      <c r="K47" s="8"/>
      <c r="L47" s="8"/>
    </row>
    <row r="48" spans="1:20">
      <c r="A48" s="59" t="s">
        <v>234</v>
      </c>
      <c r="B48" s="59" t="s">
        <v>468</v>
      </c>
      <c r="C48" s="60" t="s">
        <v>261</v>
      </c>
      <c r="D48" s="60" t="s">
        <v>261</v>
      </c>
      <c r="E48" s="60">
        <v>89.698552100640896</v>
      </c>
      <c r="F48" s="60" t="s">
        <v>261</v>
      </c>
      <c r="G48" s="60" t="s">
        <v>261</v>
      </c>
      <c r="H48" s="60" t="s">
        <v>261</v>
      </c>
      <c r="I48" s="60" t="s">
        <v>261</v>
      </c>
      <c r="J48" s="66"/>
      <c r="K48" s="60"/>
      <c r="L48" s="60"/>
    </row>
    <row r="49" spans="1:12">
      <c r="A49" s="58" t="s">
        <v>469</v>
      </c>
      <c r="B49" s="58" t="s">
        <v>470</v>
      </c>
      <c r="C49" s="8">
        <v>61600</v>
      </c>
      <c r="D49" s="8">
        <v>285500</v>
      </c>
      <c r="E49" s="8">
        <v>274600</v>
      </c>
      <c r="F49" s="8">
        <v>290900</v>
      </c>
      <c r="G49" s="8">
        <v>175400</v>
      </c>
      <c r="H49" s="8">
        <v>191200</v>
      </c>
      <c r="I49" s="8">
        <v>100</v>
      </c>
      <c r="J49" s="65"/>
      <c r="K49" s="8"/>
      <c r="L49" s="8"/>
    </row>
    <row r="50" spans="1:12">
      <c r="A50" s="59" t="s">
        <v>234</v>
      </c>
      <c r="B50" s="59" t="s">
        <v>470</v>
      </c>
      <c r="C50" s="60" t="s">
        <v>261</v>
      </c>
      <c r="D50" s="60">
        <v>363.47402597402601</v>
      </c>
      <c r="E50" s="60">
        <v>-3.81786339754815</v>
      </c>
      <c r="F50" s="60">
        <v>5.9359067734886901</v>
      </c>
      <c r="G50" s="60">
        <v>-39.704365761429997</v>
      </c>
      <c r="H50" s="60">
        <v>9.0079817559863091</v>
      </c>
      <c r="I50" s="60">
        <v>-99.947698744769895</v>
      </c>
      <c r="J50" s="66"/>
      <c r="K50" s="60"/>
      <c r="L50" s="60"/>
    </row>
    <row r="51" spans="1:12">
      <c r="A51" s="58" t="s">
        <v>471</v>
      </c>
      <c r="B51" s="58" t="s">
        <v>472</v>
      </c>
      <c r="C51" s="8" t="s">
        <v>261</v>
      </c>
      <c r="D51" s="8" t="s">
        <v>261</v>
      </c>
      <c r="E51" s="8" t="s">
        <v>261</v>
      </c>
      <c r="F51" s="8" t="s">
        <v>261</v>
      </c>
      <c r="G51" s="8" t="s">
        <v>261</v>
      </c>
      <c r="H51" s="8" t="s">
        <v>261</v>
      </c>
      <c r="I51" s="8">
        <v>-91300</v>
      </c>
      <c r="J51" s="65"/>
      <c r="K51" s="8"/>
      <c r="L51" s="8"/>
    </row>
    <row r="52" spans="1:12">
      <c r="A52" s="58" t="s">
        <v>473</v>
      </c>
      <c r="B52" s="58" t="s">
        <v>474</v>
      </c>
      <c r="C52" s="8" t="s">
        <v>261</v>
      </c>
      <c r="D52" s="8" t="s">
        <v>261</v>
      </c>
      <c r="E52" s="8" t="s">
        <v>261</v>
      </c>
      <c r="F52" s="8" t="s">
        <v>261</v>
      </c>
      <c r="G52" s="8" t="s">
        <v>261</v>
      </c>
      <c r="H52" s="8" t="s">
        <v>261</v>
      </c>
      <c r="I52" s="8" t="s">
        <v>261</v>
      </c>
      <c r="J52" s="65"/>
      <c r="K52" s="8"/>
      <c r="L52" s="8"/>
    </row>
    <row r="53" spans="1:12">
      <c r="A53" s="58" t="s">
        <v>475</v>
      </c>
      <c r="B53" s="58" t="s">
        <v>476</v>
      </c>
      <c r="C53" s="8">
        <v>87200</v>
      </c>
      <c r="D53" s="8">
        <v>37600</v>
      </c>
      <c r="E53" s="8">
        <v>10500</v>
      </c>
      <c r="F53" s="8" t="s">
        <v>261</v>
      </c>
      <c r="G53" s="8" t="s">
        <v>261</v>
      </c>
      <c r="H53" s="8" t="s">
        <v>261</v>
      </c>
      <c r="I53" s="8" t="s">
        <v>261</v>
      </c>
      <c r="J53" s="65"/>
      <c r="K53" s="8"/>
      <c r="L53" s="8"/>
    </row>
    <row r="54" spans="1:12">
      <c r="A54" s="59" t="s">
        <v>234</v>
      </c>
      <c r="B54" s="59" t="s">
        <v>476</v>
      </c>
      <c r="C54" s="60" t="s">
        <v>261</v>
      </c>
      <c r="D54" s="60">
        <v>-56.880733944954102</v>
      </c>
      <c r="E54" s="60">
        <v>-72.074468085106403</v>
      </c>
      <c r="F54" s="60" t="s">
        <v>261</v>
      </c>
      <c r="G54" s="60" t="s">
        <v>261</v>
      </c>
      <c r="H54" s="60" t="s">
        <v>261</v>
      </c>
      <c r="I54" s="60" t="s">
        <v>261</v>
      </c>
      <c r="J54" s="66"/>
      <c r="K54" s="60"/>
      <c r="L54" s="60"/>
    </row>
    <row r="55" spans="1:12">
      <c r="A55" s="58" t="s">
        <v>477</v>
      </c>
      <c r="B55" s="58" t="s">
        <v>478</v>
      </c>
      <c r="C55" s="8">
        <v>-92100</v>
      </c>
      <c r="D55" s="8">
        <v>-1871800</v>
      </c>
      <c r="E55" s="8">
        <v>-622800</v>
      </c>
      <c r="F55" s="8" t="s">
        <v>261</v>
      </c>
      <c r="G55" s="8">
        <v>-864500</v>
      </c>
      <c r="H55" s="8" t="s">
        <v>261</v>
      </c>
      <c r="I55" s="8" t="s">
        <v>261</v>
      </c>
      <c r="J55" s="65"/>
      <c r="K55" s="8"/>
      <c r="L55" s="8"/>
    </row>
    <row r="56" spans="1:12">
      <c r="A56" s="59" t="s">
        <v>234</v>
      </c>
      <c r="B56" s="59" t="s">
        <v>478</v>
      </c>
      <c r="C56" s="60">
        <v>-1605.55555555556</v>
      </c>
      <c r="D56" s="60">
        <v>-1932.3561346362701</v>
      </c>
      <c r="E56" s="60">
        <v>66.727214445987798</v>
      </c>
      <c r="F56" s="60" t="s">
        <v>261</v>
      </c>
      <c r="G56" s="60" t="s">
        <v>261</v>
      </c>
      <c r="H56" s="60" t="s">
        <v>261</v>
      </c>
      <c r="I56" s="60" t="s">
        <v>261</v>
      </c>
      <c r="J56" s="66"/>
      <c r="K56" s="60"/>
      <c r="L56" s="60"/>
    </row>
    <row r="57" spans="1:12">
      <c r="A57" s="58" t="s">
        <v>479</v>
      </c>
      <c r="B57" s="58" t="s">
        <v>480</v>
      </c>
      <c r="C57" s="8" t="s">
        <v>261</v>
      </c>
      <c r="D57" s="8" t="s">
        <v>261</v>
      </c>
      <c r="E57" s="8" t="s">
        <v>261</v>
      </c>
      <c r="F57" s="8" t="s">
        <v>261</v>
      </c>
      <c r="G57" s="8" t="s">
        <v>261</v>
      </c>
      <c r="H57" s="8" t="s">
        <v>261</v>
      </c>
      <c r="I57" s="8" t="s">
        <v>261</v>
      </c>
      <c r="J57" s="65"/>
      <c r="K57" s="8"/>
      <c r="L57" s="8"/>
    </row>
    <row r="58" spans="1:12">
      <c r="A58" s="58" t="s">
        <v>481</v>
      </c>
      <c r="B58" s="58" t="s">
        <v>482</v>
      </c>
      <c r="C58" s="8">
        <v>6000</v>
      </c>
      <c r="D58" s="8">
        <v>239000</v>
      </c>
      <c r="E58" s="8">
        <v>146200</v>
      </c>
      <c r="F58" s="8">
        <v>280600</v>
      </c>
      <c r="G58" s="8">
        <v>170400</v>
      </c>
      <c r="H58" s="8" t="s">
        <v>261</v>
      </c>
      <c r="I58" s="8" t="s">
        <v>261</v>
      </c>
      <c r="J58" s="65"/>
      <c r="K58" s="8"/>
      <c r="L58" s="8"/>
    </row>
    <row r="59" spans="1:12">
      <c r="A59" s="59" t="s">
        <v>234</v>
      </c>
      <c r="B59" s="59" t="s">
        <v>482</v>
      </c>
      <c r="C59" s="60" t="s">
        <v>261</v>
      </c>
      <c r="D59" s="60">
        <v>3883.3333333333298</v>
      </c>
      <c r="E59" s="60">
        <v>-38.828451882845201</v>
      </c>
      <c r="F59" s="60">
        <v>91.928864569083501</v>
      </c>
      <c r="G59" s="60">
        <v>-39.272986457590903</v>
      </c>
      <c r="H59" s="60" t="s">
        <v>261</v>
      </c>
      <c r="I59" s="60" t="s">
        <v>261</v>
      </c>
      <c r="J59" s="66"/>
      <c r="K59" s="60"/>
      <c r="L59" s="60"/>
    </row>
    <row r="60" spans="1:12">
      <c r="A60" s="58" t="s">
        <v>483</v>
      </c>
      <c r="B60" s="58" t="s">
        <v>484</v>
      </c>
      <c r="C60" s="8" t="s">
        <v>261</v>
      </c>
      <c r="D60" s="8" t="s">
        <v>261</v>
      </c>
      <c r="E60" s="8" t="s">
        <v>261</v>
      </c>
      <c r="F60" s="8" t="s">
        <v>261</v>
      </c>
      <c r="G60" s="8" t="s">
        <v>261</v>
      </c>
      <c r="H60" s="8" t="s">
        <v>261</v>
      </c>
      <c r="I60" s="8" t="s">
        <v>261</v>
      </c>
      <c r="J60" s="65"/>
      <c r="K60" s="8"/>
      <c r="L60" s="8"/>
    </row>
    <row r="61" spans="1:12">
      <c r="A61" s="58" t="s">
        <v>485</v>
      </c>
      <c r="B61" s="58" t="s">
        <v>486</v>
      </c>
      <c r="C61" s="8">
        <v>60300</v>
      </c>
      <c r="D61" s="8">
        <v>45800</v>
      </c>
      <c r="E61" s="8">
        <v>61300</v>
      </c>
      <c r="F61" s="8" t="s">
        <v>261</v>
      </c>
      <c r="G61" s="8" t="s">
        <v>261</v>
      </c>
      <c r="H61" s="8">
        <v>46000</v>
      </c>
      <c r="I61" s="8">
        <v>21800</v>
      </c>
      <c r="J61" s="65"/>
      <c r="K61" s="8"/>
      <c r="L61" s="8"/>
    </row>
    <row r="62" spans="1:12">
      <c r="A62" s="59" t="s">
        <v>234</v>
      </c>
      <c r="B62" s="59" t="s">
        <v>486</v>
      </c>
      <c r="C62" s="60" t="s">
        <v>261</v>
      </c>
      <c r="D62" s="60">
        <v>-24.046434494195701</v>
      </c>
      <c r="E62" s="60">
        <v>33.842794759825303</v>
      </c>
      <c r="F62" s="60" t="s">
        <v>261</v>
      </c>
      <c r="G62" s="60" t="s">
        <v>261</v>
      </c>
      <c r="H62" s="60" t="s">
        <v>261</v>
      </c>
      <c r="I62" s="60">
        <v>-52.6086956521739</v>
      </c>
      <c r="J62" s="66"/>
      <c r="K62" s="60"/>
      <c r="L62" s="60"/>
    </row>
    <row r="63" spans="1:12">
      <c r="A63" s="56" t="s">
        <v>487</v>
      </c>
      <c r="B63" s="56" t="s">
        <v>466</v>
      </c>
      <c r="C63" s="61">
        <v>4317500</v>
      </c>
      <c r="D63" s="61">
        <v>5780000</v>
      </c>
      <c r="E63" s="61">
        <v>4466200</v>
      </c>
      <c r="F63" s="61">
        <v>1164400</v>
      </c>
      <c r="G63" s="61">
        <v>5356900</v>
      </c>
      <c r="H63" s="61">
        <v>4231900</v>
      </c>
      <c r="I63" s="61">
        <v>5401900</v>
      </c>
      <c r="J63" s="67">
        <v>5402000.0244140597</v>
      </c>
      <c r="K63" s="61">
        <v>6197963</v>
      </c>
      <c r="L63" s="61">
        <v>7103440</v>
      </c>
    </row>
    <row r="64" spans="1:12">
      <c r="A64" s="59" t="s">
        <v>234</v>
      </c>
      <c r="B64" s="59" t="s">
        <v>466</v>
      </c>
      <c r="C64" s="60">
        <v>2.8318963464011699</v>
      </c>
      <c r="D64" s="60">
        <v>33.873769542559401</v>
      </c>
      <c r="E64" s="60">
        <v>-22.730103806228399</v>
      </c>
      <c r="F64" s="60">
        <v>-73.9286194079978</v>
      </c>
      <c r="G64" s="60">
        <v>360.05668155273099</v>
      </c>
      <c r="H64" s="60">
        <v>-21.000952043159302</v>
      </c>
      <c r="I64" s="60">
        <v>27.647156123726901</v>
      </c>
      <c r="J64" s="66">
        <v>27.649521178263399</v>
      </c>
      <c r="K64" s="60">
        <v>14.736722264388501</v>
      </c>
      <c r="L64" s="60">
        <v>14.609267593239901</v>
      </c>
    </row>
    <row r="65" spans="1:12">
      <c r="A65" s="58" t="s">
        <v>488</v>
      </c>
      <c r="B65" s="58" t="s">
        <v>489</v>
      </c>
      <c r="C65" s="8">
        <v>1432600</v>
      </c>
      <c r="D65" s="8">
        <v>1262000</v>
      </c>
      <c r="E65" s="8">
        <v>871600</v>
      </c>
      <c r="F65" s="8">
        <v>239700</v>
      </c>
      <c r="G65" s="8">
        <v>1156600</v>
      </c>
      <c r="H65" s="8">
        <v>948500</v>
      </c>
      <c r="I65" s="8">
        <v>1277200</v>
      </c>
      <c r="J65" s="65">
        <v>1277300</v>
      </c>
      <c r="K65" s="8"/>
      <c r="L65" s="8"/>
    </row>
    <row r="66" spans="1:12">
      <c r="A66" s="59" t="s">
        <v>234</v>
      </c>
      <c r="B66" s="59" t="s">
        <v>489</v>
      </c>
      <c r="C66" s="60">
        <v>3.8341669999999999</v>
      </c>
      <c r="D66" s="60">
        <v>-11.908417999999999</v>
      </c>
      <c r="E66" s="60">
        <v>-30.935023999999999</v>
      </c>
      <c r="F66" s="60">
        <v>-72.498852999999997</v>
      </c>
      <c r="G66" s="60">
        <v>382.51981599999999</v>
      </c>
      <c r="H66" s="60">
        <v>-17.992391000000001</v>
      </c>
      <c r="I66" s="60">
        <v>34.654718000000003</v>
      </c>
      <c r="J66" s="66">
        <v>34.651064726966098</v>
      </c>
      <c r="K66" s="60"/>
      <c r="L66" s="60"/>
    </row>
    <row r="67" spans="1:12">
      <c r="A67" s="58" t="s">
        <v>490</v>
      </c>
      <c r="B67" s="58" t="s">
        <v>491</v>
      </c>
      <c r="C67" s="8">
        <v>1318400</v>
      </c>
      <c r="D67" s="8">
        <v>535200</v>
      </c>
      <c r="E67" s="8">
        <v>2320400</v>
      </c>
      <c r="F67" s="8">
        <v>268200</v>
      </c>
      <c r="G67" s="8">
        <v>1281600</v>
      </c>
      <c r="H67" s="8">
        <v>925400</v>
      </c>
      <c r="I67" s="8">
        <v>1336500</v>
      </c>
      <c r="J67" s="65"/>
      <c r="K67" s="8"/>
      <c r="L67" s="8"/>
    </row>
    <row r="68" spans="1:12">
      <c r="A68" s="59" t="s">
        <v>234</v>
      </c>
      <c r="B68" s="59" t="s">
        <v>491</v>
      </c>
      <c r="C68" s="60">
        <v>21.054081351574698</v>
      </c>
      <c r="D68" s="60">
        <v>-59.4053398058252</v>
      </c>
      <c r="E68" s="60">
        <v>333.55754857996999</v>
      </c>
      <c r="F68" s="60">
        <v>-88.441647991725603</v>
      </c>
      <c r="G68" s="60">
        <v>377.85234899328901</v>
      </c>
      <c r="H68" s="60">
        <v>-27.793383270911399</v>
      </c>
      <c r="I68" s="60">
        <v>44.424032850659202</v>
      </c>
      <c r="J68" s="66"/>
      <c r="K68" s="60"/>
      <c r="L68" s="60"/>
    </row>
    <row r="69" spans="1:12">
      <c r="A69" s="58" t="s">
        <v>492</v>
      </c>
      <c r="B69" s="58" t="s">
        <v>493</v>
      </c>
      <c r="C69" s="8">
        <v>114200</v>
      </c>
      <c r="D69" s="8">
        <v>726800</v>
      </c>
      <c r="E69" s="8">
        <v>-1448800</v>
      </c>
      <c r="F69" s="8">
        <v>-28500</v>
      </c>
      <c r="G69" s="8">
        <v>-125000</v>
      </c>
      <c r="H69" s="8">
        <v>23100</v>
      </c>
      <c r="I69" s="8">
        <v>-59300</v>
      </c>
      <c r="J69" s="65"/>
      <c r="K69" s="8"/>
      <c r="L69" s="8"/>
    </row>
    <row r="70" spans="1:12">
      <c r="A70" s="59" t="s">
        <v>234</v>
      </c>
      <c r="B70" s="59" t="s">
        <v>493</v>
      </c>
      <c r="C70" s="60">
        <v>-60.7019958706125</v>
      </c>
      <c r="D70" s="60">
        <v>536.42732049036795</v>
      </c>
      <c r="E70" s="60" t="s">
        <v>261</v>
      </c>
      <c r="F70" s="60">
        <v>98.032854776366605</v>
      </c>
      <c r="G70" s="60">
        <v>-338.59649122807002</v>
      </c>
      <c r="H70" s="60" t="s">
        <v>261</v>
      </c>
      <c r="I70" s="60" t="s">
        <v>261</v>
      </c>
      <c r="J70" s="66"/>
      <c r="K70" s="60"/>
      <c r="L70" s="60"/>
    </row>
    <row r="71" spans="1:12">
      <c r="A71" s="56" t="s">
        <v>494</v>
      </c>
      <c r="B71" s="56" t="s">
        <v>495</v>
      </c>
      <c r="C71" s="61">
        <v>2884900</v>
      </c>
      <c r="D71" s="61">
        <v>4518000</v>
      </c>
      <c r="E71" s="61">
        <v>3594600</v>
      </c>
      <c r="F71" s="61">
        <v>924700</v>
      </c>
      <c r="G71" s="61">
        <v>4200300</v>
      </c>
      <c r="H71" s="61">
        <v>3283400</v>
      </c>
      <c r="I71" s="61">
        <v>4124700</v>
      </c>
      <c r="J71" s="67">
        <v>4124700</v>
      </c>
      <c r="K71" s="61">
        <v>4697765</v>
      </c>
      <c r="L71" s="61">
        <v>5407600</v>
      </c>
    </row>
    <row r="72" spans="1:12">
      <c r="A72" s="59" t="s">
        <v>234</v>
      </c>
      <c r="B72" s="59" t="s">
        <v>495</v>
      </c>
      <c r="C72" s="60">
        <v>2.3413390000000001</v>
      </c>
      <c r="D72" s="60">
        <v>56.608547999999999</v>
      </c>
      <c r="E72" s="60">
        <v>-20.438247</v>
      </c>
      <c r="F72" s="60">
        <v>-74.275301999999996</v>
      </c>
      <c r="G72" s="60">
        <v>354.23380600000002</v>
      </c>
      <c r="H72" s="60">
        <v>-21.829393</v>
      </c>
      <c r="I72" s="60">
        <v>25.62283</v>
      </c>
      <c r="J72" s="66">
        <v>25.626656108183798</v>
      </c>
      <c r="K72" s="60">
        <v>13.893495284505599</v>
      </c>
      <c r="L72" s="60">
        <v>15.1100576550764</v>
      </c>
    </row>
    <row r="73" spans="1:12">
      <c r="A73" s="58" t="s">
        <v>496</v>
      </c>
      <c r="B73" s="58" t="s">
        <v>497</v>
      </c>
      <c r="C73" s="8">
        <v>0</v>
      </c>
      <c r="D73" s="8">
        <v>0</v>
      </c>
      <c r="E73" s="8">
        <v>0</v>
      </c>
      <c r="F73" s="8">
        <v>0</v>
      </c>
      <c r="G73" s="8">
        <v>0</v>
      </c>
      <c r="H73" s="8">
        <v>0</v>
      </c>
      <c r="I73" s="8">
        <v>0</v>
      </c>
      <c r="J73" s="65">
        <v>0</v>
      </c>
      <c r="K73" s="8"/>
      <c r="L73" s="8"/>
    </row>
    <row r="74" spans="1:12">
      <c r="A74" s="58" t="s">
        <v>498</v>
      </c>
      <c r="B74" s="58" t="s">
        <v>499</v>
      </c>
      <c r="C74" s="8">
        <v>0</v>
      </c>
      <c r="D74" s="8">
        <v>0</v>
      </c>
      <c r="E74" s="8">
        <v>0</v>
      </c>
      <c r="F74" s="8">
        <v>0</v>
      </c>
      <c r="G74" s="8">
        <v>0</v>
      </c>
      <c r="H74" s="8">
        <v>0</v>
      </c>
      <c r="I74" s="8">
        <v>0</v>
      </c>
      <c r="J74" s="65">
        <v>0</v>
      </c>
      <c r="K74" s="8"/>
      <c r="L74" s="8"/>
    </row>
    <row r="75" spans="1:12">
      <c r="A75" s="58" t="s">
        <v>500</v>
      </c>
      <c r="B75" s="58" t="s">
        <v>501</v>
      </c>
      <c r="C75" s="8">
        <v>0</v>
      </c>
      <c r="D75" s="8">
        <v>0</v>
      </c>
      <c r="E75" s="8">
        <v>0</v>
      </c>
      <c r="F75" s="8">
        <v>0</v>
      </c>
      <c r="G75" s="8">
        <v>0</v>
      </c>
      <c r="H75" s="8">
        <v>0</v>
      </c>
      <c r="I75" s="8">
        <v>0</v>
      </c>
      <c r="J75" s="65">
        <v>0</v>
      </c>
      <c r="K75" s="8"/>
      <c r="L75" s="8"/>
    </row>
    <row r="76" spans="1:12">
      <c r="A76" s="56" t="s">
        <v>502</v>
      </c>
      <c r="B76" s="56" t="s">
        <v>503</v>
      </c>
      <c r="C76" s="61">
        <v>2884900</v>
      </c>
      <c r="D76" s="61">
        <v>4518000</v>
      </c>
      <c r="E76" s="61">
        <v>3594600</v>
      </c>
      <c r="F76" s="61">
        <v>924700</v>
      </c>
      <c r="G76" s="61">
        <v>4200300</v>
      </c>
      <c r="H76" s="61">
        <v>3283400</v>
      </c>
      <c r="I76" s="61">
        <v>4124700</v>
      </c>
      <c r="J76" s="67">
        <v>4124700</v>
      </c>
      <c r="K76" s="61"/>
      <c r="L76" s="61"/>
    </row>
    <row r="77" spans="1:12">
      <c r="A77" s="59" t="s">
        <v>234</v>
      </c>
      <c r="B77" s="59" t="s">
        <v>503</v>
      </c>
      <c r="C77" s="60">
        <v>2.3413388201071301</v>
      </c>
      <c r="D77" s="60">
        <v>56.608547956601598</v>
      </c>
      <c r="E77" s="60">
        <v>-20.4382470119522</v>
      </c>
      <c r="F77" s="60">
        <v>-74.275301841651398</v>
      </c>
      <c r="G77" s="60">
        <v>354.23380555855999</v>
      </c>
      <c r="H77" s="60">
        <v>-21.829393138585299</v>
      </c>
      <c r="I77" s="60">
        <v>25.6228299932996</v>
      </c>
      <c r="J77" s="66">
        <v>25.626656108183798</v>
      </c>
      <c r="K77" s="60"/>
      <c r="L77" s="60"/>
    </row>
    <row r="78" spans="1:12">
      <c r="A78" s="58" t="s">
        <v>504</v>
      </c>
      <c r="B78" s="58" t="s">
        <v>505</v>
      </c>
      <c r="C78" s="8">
        <v>200</v>
      </c>
      <c r="D78" s="8">
        <v>-300</v>
      </c>
      <c r="E78" s="8">
        <v>-4600</v>
      </c>
      <c r="F78" s="8">
        <v>-3600</v>
      </c>
      <c r="G78" s="8">
        <v>1000</v>
      </c>
      <c r="H78" s="8">
        <v>1800</v>
      </c>
      <c r="I78" s="8">
        <v>200</v>
      </c>
      <c r="J78" s="65">
        <v>200</v>
      </c>
      <c r="K78" s="8"/>
      <c r="L78" s="8"/>
    </row>
    <row r="79" spans="1:12">
      <c r="A79" s="59" t="s">
        <v>234</v>
      </c>
      <c r="B79" s="59" t="s">
        <v>505</v>
      </c>
      <c r="C79" s="60">
        <v>-83.333332999999996</v>
      </c>
      <c r="D79" s="60" t="s">
        <v>261</v>
      </c>
      <c r="E79" s="60">
        <v>-1433.333333</v>
      </c>
      <c r="F79" s="60">
        <v>21.739129999999999</v>
      </c>
      <c r="G79" s="60" t="s">
        <v>261</v>
      </c>
      <c r="H79" s="60">
        <v>80</v>
      </c>
      <c r="I79" s="60">
        <v>-88.888889000000006</v>
      </c>
      <c r="J79" s="66">
        <v>-88.235294117647101</v>
      </c>
      <c r="K79" s="60"/>
      <c r="L79" s="60"/>
    </row>
    <row r="80" spans="1:12">
      <c r="A80" s="56" t="s">
        <v>506</v>
      </c>
      <c r="B80" s="56" t="s">
        <v>507</v>
      </c>
      <c r="C80" s="61">
        <v>2884700</v>
      </c>
      <c r="D80" s="61">
        <v>4518300</v>
      </c>
      <c r="E80" s="61">
        <v>3599200</v>
      </c>
      <c r="F80" s="61">
        <v>928300</v>
      </c>
      <c r="G80" s="61">
        <v>4199300</v>
      </c>
      <c r="H80" s="61">
        <v>3281600</v>
      </c>
      <c r="I80" s="61">
        <v>4124500</v>
      </c>
      <c r="J80" s="67">
        <v>4124500</v>
      </c>
      <c r="K80" s="61">
        <v>4697765</v>
      </c>
      <c r="L80" s="61">
        <v>5407600</v>
      </c>
    </row>
    <row r="81" spans="1:12">
      <c r="A81" s="59" t="s">
        <v>234</v>
      </c>
      <c r="B81" s="59" t="s">
        <v>507</v>
      </c>
      <c r="C81" s="60">
        <v>2.3778260000000002</v>
      </c>
      <c r="D81" s="60">
        <v>56.629806000000002</v>
      </c>
      <c r="E81" s="60">
        <v>-20.341721</v>
      </c>
      <c r="F81" s="60">
        <v>-74.208157</v>
      </c>
      <c r="G81" s="60">
        <v>352.36453699999998</v>
      </c>
      <c r="H81" s="60">
        <v>-21.853642000000001</v>
      </c>
      <c r="I81" s="60">
        <v>25.685641</v>
      </c>
      <c r="J81" s="66">
        <v>25.685641150658199</v>
      </c>
      <c r="K81" s="60">
        <v>13.8990180627955</v>
      </c>
      <c r="L81" s="60">
        <v>15.1100576550764</v>
      </c>
    </row>
    <row r="82" spans="1:12">
      <c r="A82" s="58" t="s">
        <v>508</v>
      </c>
      <c r="B82" s="58" t="s">
        <v>509</v>
      </c>
      <c r="C82" s="8">
        <v>0</v>
      </c>
      <c r="D82" s="8">
        <v>0</v>
      </c>
      <c r="E82" s="8">
        <v>0</v>
      </c>
      <c r="F82" s="8">
        <v>0</v>
      </c>
      <c r="G82" s="8">
        <v>0</v>
      </c>
      <c r="H82" s="8">
        <v>0</v>
      </c>
      <c r="I82" s="8">
        <v>0</v>
      </c>
      <c r="J82" s="65">
        <v>0</v>
      </c>
      <c r="K82" s="8"/>
      <c r="L82" s="8"/>
    </row>
    <row r="83" spans="1:12">
      <c r="A83" s="58" t="s">
        <v>510</v>
      </c>
      <c r="B83" s="58" t="s">
        <v>511</v>
      </c>
      <c r="C83" s="8">
        <v>0</v>
      </c>
      <c r="D83" s="8">
        <v>0</v>
      </c>
      <c r="E83" s="8">
        <v>0</v>
      </c>
      <c r="F83" s="8">
        <v>0</v>
      </c>
      <c r="G83" s="8">
        <v>0</v>
      </c>
      <c r="H83" s="8">
        <v>0</v>
      </c>
      <c r="I83" s="8">
        <v>0</v>
      </c>
      <c r="J83" s="65">
        <v>0</v>
      </c>
      <c r="K83" s="8"/>
      <c r="L83" s="8"/>
    </row>
    <row r="84" spans="1:12">
      <c r="A84" s="56" t="s">
        <v>512</v>
      </c>
      <c r="B84" s="56" t="s">
        <v>513</v>
      </c>
      <c r="C84" s="61">
        <v>2884700</v>
      </c>
      <c r="D84" s="61">
        <v>4518300</v>
      </c>
      <c r="E84" s="61">
        <v>3599200</v>
      </c>
      <c r="F84" s="61">
        <v>928300</v>
      </c>
      <c r="G84" s="61">
        <v>4199300</v>
      </c>
      <c r="H84" s="61">
        <v>3281600</v>
      </c>
      <c r="I84" s="61">
        <v>4124500</v>
      </c>
      <c r="J84" s="67">
        <v>4124499.9511718801</v>
      </c>
      <c r="K84" s="61">
        <v>4697765</v>
      </c>
      <c r="L84" s="61">
        <v>5407600</v>
      </c>
    </row>
    <row r="85" spans="1:12">
      <c r="A85" s="59" t="s">
        <v>234</v>
      </c>
      <c r="B85" s="59" t="s">
        <v>513</v>
      </c>
      <c r="C85" s="60">
        <v>2.3778260000000002</v>
      </c>
      <c r="D85" s="60">
        <v>56.629806000000002</v>
      </c>
      <c r="E85" s="60">
        <v>-20.341721</v>
      </c>
      <c r="F85" s="60">
        <v>-74.208157</v>
      </c>
      <c r="G85" s="60">
        <v>352.36453699999998</v>
      </c>
      <c r="H85" s="60">
        <v>-21.853642000000001</v>
      </c>
      <c r="I85" s="60">
        <v>25.685641</v>
      </c>
      <c r="J85" s="66">
        <v>25.685637792599199</v>
      </c>
      <c r="K85" s="60">
        <v>13.8990180627955</v>
      </c>
      <c r="L85" s="60">
        <v>15.1100576550764</v>
      </c>
    </row>
    <row r="86" spans="1:12">
      <c r="A86" s="56"/>
      <c r="B86" s="57"/>
      <c r="C86" s="57"/>
      <c r="D86" s="57"/>
      <c r="E86" s="57"/>
      <c r="F86" s="57"/>
      <c r="G86" s="57"/>
      <c r="H86" s="57"/>
      <c r="I86" s="57"/>
      <c r="J86" s="64"/>
      <c r="K86" s="57"/>
      <c r="L86" s="57"/>
    </row>
    <row r="87" spans="1:12">
      <c r="A87" s="56" t="s">
        <v>514</v>
      </c>
      <c r="B87" s="56" t="s">
        <v>513</v>
      </c>
      <c r="C87" s="61">
        <v>2995170</v>
      </c>
      <c r="D87" s="61">
        <v>3754565.5</v>
      </c>
      <c r="E87" s="61">
        <v>3498547</v>
      </c>
      <c r="F87" s="61">
        <v>1379785</v>
      </c>
      <c r="G87" s="61">
        <v>3789527</v>
      </c>
      <c r="H87" s="61">
        <v>3468988</v>
      </c>
      <c r="I87" s="61">
        <v>4069674</v>
      </c>
      <c r="J87" s="67">
        <v>4086500.9277343801</v>
      </c>
      <c r="K87" s="61">
        <v>4688552</v>
      </c>
      <c r="L87" s="61">
        <v>5384333</v>
      </c>
    </row>
    <row r="88" spans="1:12">
      <c r="A88" s="59" t="s">
        <v>234</v>
      </c>
      <c r="B88" s="59" t="s">
        <v>513</v>
      </c>
      <c r="C88" s="60">
        <v>6.4309799999999999</v>
      </c>
      <c r="D88" s="60">
        <v>25.354002999999999</v>
      </c>
      <c r="E88" s="60">
        <v>-6.8188579999999996</v>
      </c>
      <c r="F88" s="60">
        <v>-60.561199000000002</v>
      </c>
      <c r="G88" s="60">
        <v>174.64619500000001</v>
      </c>
      <c r="H88" s="60">
        <v>-8.4585489999999997</v>
      </c>
      <c r="I88" s="60">
        <v>17.315885999999999</v>
      </c>
      <c r="J88" s="66">
        <v>16.451100893122401</v>
      </c>
      <c r="K88" s="60">
        <v>15.2070657256576</v>
      </c>
      <c r="L88" s="60">
        <v>14.8399975088258</v>
      </c>
    </row>
    <row r="89" spans="1:12">
      <c r="A89" s="58" t="s">
        <v>515</v>
      </c>
      <c r="B89" s="58" t="s">
        <v>516</v>
      </c>
      <c r="C89" s="8">
        <v>110470</v>
      </c>
      <c r="D89" s="8">
        <v>-763734.5</v>
      </c>
      <c r="E89" s="8">
        <v>-100653</v>
      </c>
      <c r="F89" s="8">
        <v>451485</v>
      </c>
      <c r="G89" s="8">
        <v>-409773</v>
      </c>
      <c r="H89" s="8">
        <v>187388</v>
      </c>
      <c r="I89" s="8">
        <v>-54826</v>
      </c>
      <c r="J89" s="65">
        <v>-37999</v>
      </c>
      <c r="K89" s="8"/>
      <c r="L89" s="8"/>
    </row>
    <row r="90" spans="1:12">
      <c r="A90" s="59" t="s">
        <v>234</v>
      </c>
      <c r="B90" s="59" t="s">
        <v>516</v>
      </c>
      <c r="C90" s="60" t="s">
        <v>261</v>
      </c>
      <c r="D90" s="60" t="s">
        <v>261</v>
      </c>
      <c r="E90" s="60">
        <v>86.820943665632498</v>
      </c>
      <c r="F90" s="60" t="s">
        <v>261</v>
      </c>
      <c r="G90" s="60" t="s">
        <v>261</v>
      </c>
      <c r="H90" s="60" t="s">
        <v>261</v>
      </c>
      <c r="I90" s="60" t="s">
        <v>261</v>
      </c>
      <c r="J90" s="66"/>
      <c r="K90" s="60"/>
      <c r="L90" s="60"/>
    </row>
    <row r="91" spans="1:12">
      <c r="A91" s="58" t="s">
        <v>517</v>
      </c>
      <c r="B91" s="58" t="s">
        <v>497</v>
      </c>
      <c r="C91" s="8">
        <v>0</v>
      </c>
      <c r="D91" s="8">
        <v>0</v>
      </c>
      <c r="E91" s="8">
        <v>0</v>
      </c>
      <c r="F91" s="8">
        <v>0</v>
      </c>
      <c r="G91" s="8">
        <v>0</v>
      </c>
      <c r="H91" s="8">
        <v>0</v>
      </c>
      <c r="I91" s="8">
        <v>0</v>
      </c>
      <c r="J91" s="65">
        <v>0</v>
      </c>
      <c r="K91" s="8"/>
      <c r="L91" s="8"/>
    </row>
    <row r="92" spans="1:12">
      <c r="A92" s="56"/>
      <c r="B92" s="57"/>
      <c r="C92" s="57"/>
      <c r="D92" s="57"/>
      <c r="E92" s="57"/>
      <c r="F92" s="57"/>
      <c r="G92" s="57"/>
      <c r="H92" s="57"/>
      <c r="I92" s="57"/>
      <c r="J92" s="64"/>
      <c r="K92" s="57"/>
      <c r="L92" s="57"/>
    </row>
    <row r="93" spans="1:12">
      <c r="A93" s="58" t="s">
        <v>518</v>
      </c>
      <c r="B93" s="58" t="s">
        <v>519</v>
      </c>
      <c r="C93" s="8">
        <v>1449.5</v>
      </c>
      <c r="D93" s="8">
        <v>1382.7</v>
      </c>
      <c r="E93" s="8">
        <v>1221.2</v>
      </c>
      <c r="F93" s="8">
        <v>1172.8</v>
      </c>
      <c r="G93" s="8">
        <v>1177.5999999999999</v>
      </c>
      <c r="H93" s="8">
        <v>1153.3</v>
      </c>
      <c r="I93" s="8">
        <v>1146.8</v>
      </c>
      <c r="J93" s="65">
        <v>1149.4000000000001</v>
      </c>
      <c r="K93" s="8"/>
      <c r="L93" s="8"/>
    </row>
    <row r="94" spans="1:12">
      <c r="A94" s="59" t="s">
        <v>234</v>
      </c>
      <c r="B94" s="59" t="s">
        <v>519</v>
      </c>
      <c r="C94" s="60">
        <v>-1.5017667844522899</v>
      </c>
      <c r="D94" s="60">
        <v>-4.60848568471887</v>
      </c>
      <c r="E94" s="60">
        <v>-11.6800462862515</v>
      </c>
      <c r="F94" s="60">
        <v>-3.9633147723550701</v>
      </c>
      <c r="G94" s="60">
        <v>0.40927694406547999</v>
      </c>
      <c r="H94" s="60">
        <v>-2.0635190217391299</v>
      </c>
      <c r="I94" s="60">
        <v>-0.56360010404924998</v>
      </c>
      <c r="J94" s="66"/>
      <c r="K94" s="60"/>
      <c r="L94" s="60"/>
    </row>
    <row r="95" spans="1:12">
      <c r="A95" s="56" t="s">
        <v>520</v>
      </c>
      <c r="B95" s="56" t="s">
        <v>521</v>
      </c>
      <c r="C95" s="61">
        <v>1.99</v>
      </c>
      <c r="D95" s="61">
        <v>3.27</v>
      </c>
      <c r="E95" s="61">
        <v>2.95</v>
      </c>
      <c r="F95" s="61">
        <v>0.79</v>
      </c>
      <c r="G95" s="61">
        <v>3.57</v>
      </c>
      <c r="H95" s="61">
        <v>2.85</v>
      </c>
      <c r="I95" s="61">
        <v>3.6</v>
      </c>
      <c r="J95" s="67">
        <v>3.59</v>
      </c>
      <c r="K95" s="61">
        <v>4.1420000000000003</v>
      </c>
      <c r="L95" s="61">
        <v>4.8470000000000004</v>
      </c>
    </row>
    <row r="96" spans="1:12">
      <c r="A96" s="59" t="s">
        <v>234</v>
      </c>
      <c r="B96" s="59" t="s">
        <v>521</v>
      </c>
      <c r="C96" s="60">
        <v>4.1884819999999996</v>
      </c>
      <c r="D96" s="60">
        <v>64.321607999999998</v>
      </c>
      <c r="E96" s="60">
        <v>-9.785933</v>
      </c>
      <c r="F96" s="60">
        <v>-73.220338999999996</v>
      </c>
      <c r="G96" s="60">
        <v>351.89873399999999</v>
      </c>
      <c r="H96" s="60">
        <v>-20.168067000000001</v>
      </c>
      <c r="I96" s="60">
        <v>26.315788999999999</v>
      </c>
      <c r="J96" s="66">
        <v>25.9649122807018</v>
      </c>
      <c r="K96" s="60">
        <v>15.0555555555556</v>
      </c>
      <c r="L96" s="60">
        <v>17.0207629164655</v>
      </c>
    </row>
    <row r="97" spans="1:12">
      <c r="A97" s="56" t="s">
        <v>522</v>
      </c>
      <c r="B97" s="56" t="s">
        <v>523</v>
      </c>
      <c r="C97" s="61">
        <v>1.99</v>
      </c>
      <c r="D97" s="61">
        <v>3.27</v>
      </c>
      <c r="E97" s="61">
        <v>2.95</v>
      </c>
      <c r="F97" s="61">
        <v>0.79</v>
      </c>
      <c r="G97" s="61">
        <v>3.57</v>
      </c>
      <c r="H97" s="61">
        <v>2.85</v>
      </c>
      <c r="I97" s="61">
        <v>3.6</v>
      </c>
      <c r="J97" s="67">
        <v>3.59</v>
      </c>
      <c r="K97" s="61">
        <v>4.1420000000000003</v>
      </c>
      <c r="L97" s="61">
        <v>4.8470000000000004</v>
      </c>
    </row>
    <row r="98" spans="1:12">
      <c r="A98" s="59" t="s">
        <v>234</v>
      </c>
      <c r="B98" s="59" t="s">
        <v>523</v>
      </c>
      <c r="C98" s="60">
        <v>4.1884816753926701</v>
      </c>
      <c r="D98" s="60">
        <v>64.321608040200999</v>
      </c>
      <c r="E98" s="60">
        <v>-9.7859327217125305</v>
      </c>
      <c r="F98" s="60">
        <v>-73.220338983050894</v>
      </c>
      <c r="G98" s="60">
        <v>351.89873417721498</v>
      </c>
      <c r="H98" s="60">
        <v>-20.168067226890798</v>
      </c>
      <c r="I98" s="60">
        <v>26.315789473684202</v>
      </c>
      <c r="J98" s="66">
        <v>25.9649122807018</v>
      </c>
      <c r="K98" s="60">
        <v>15.0555555555556</v>
      </c>
      <c r="L98" s="60">
        <v>17.0207629164655</v>
      </c>
    </row>
    <row r="99" spans="1:12">
      <c r="A99" s="56" t="s">
        <v>524</v>
      </c>
      <c r="B99" s="56" t="s">
        <v>525</v>
      </c>
      <c r="C99" s="61">
        <v>2.0663</v>
      </c>
      <c r="D99" s="61">
        <v>2.7153999999999998</v>
      </c>
      <c r="E99" s="61">
        <v>2.8647999999999998</v>
      </c>
      <c r="F99" s="61">
        <v>1.1765000000000001</v>
      </c>
      <c r="G99" s="61">
        <v>3.218</v>
      </c>
      <c r="H99" s="61">
        <v>3.0078999999999998</v>
      </c>
      <c r="I99" s="61">
        <v>3.5487000000000002</v>
      </c>
      <c r="J99" s="67">
        <v>3.5587409999999999</v>
      </c>
      <c r="K99" s="61">
        <v>4.1230000000000002</v>
      </c>
      <c r="L99" s="61">
        <v>4.8079999999999998</v>
      </c>
    </row>
    <row r="100" spans="1:12">
      <c r="A100" s="59" t="s">
        <v>234</v>
      </c>
      <c r="B100" s="59" t="s">
        <v>525</v>
      </c>
      <c r="C100" s="60">
        <v>8.0536659999999998</v>
      </c>
      <c r="D100" s="60">
        <v>31.410019999999999</v>
      </c>
      <c r="E100" s="60">
        <v>5.5040769999999997</v>
      </c>
      <c r="F100" s="60">
        <v>-58.933610000000002</v>
      </c>
      <c r="G100" s="60">
        <v>173.52671699999999</v>
      </c>
      <c r="H100" s="60">
        <v>-6.5297830000000001</v>
      </c>
      <c r="I100" s="60">
        <v>17.980837000000001</v>
      </c>
      <c r="J100" s="66">
        <v>17.246969938575099</v>
      </c>
      <c r="K100" s="60">
        <v>16.182670831922</v>
      </c>
      <c r="L100" s="60">
        <v>16.6141159349988</v>
      </c>
    </row>
    <row r="101" spans="1:12">
      <c r="A101" s="56"/>
      <c r="B101" s="57"/>
      <c r="C101" s="57"/>
      <c r="D101" s="57"/>
      <c r="E101" s="57"/>
      <c r="F101" s="57"/>
      <c r="G101" s="57"/>
      <c r="H101" s="57"/>
      <c r="I101" s="57"/>
      <c r="J101" s="64"/>
      <c r="K101" s="57"/>
      <c r="L101" s="57"/>
    </row>
    <row r="102" spans="1:12">
      <c r="A102" s="58" t="s">
        <v>526</v>
      </c>
      <c r="B102" s="58" t="s">
        <v>527</v>
      </c>
      <c r="C102" s="8">
        <v>1461.5</v>
      </c>
      <c r="D102" s="8">
        <v>1394.6</v>
      </c>
      <c r="E102" s="8">
        <v>1233.2</v>
      </c>
      <c r="F102" s="8">
        <v>1181.8</v>
      </c>
      <c r="G102" s="8">
        <v>1185.5</v>
      </c>
      <c r="H102" s="8">
        <v>1158.5</v>
      </c>
      <c r="I102" s="8">
        <v>1151.3</v>
      </c>
      <c r="J102" s="65">
        <v>1149.4000000000001</v>
      </c>
      <c r="K102" s="8"/>
      <c r="L102" s="8"/>
    </row>
    <row r="103" spans="1:12">
      <c r="A103" s="59" t="s">
        <v>234</v>
      </c>
      <c r="B103" s="59" t="s">
        <v>527</v>
      </c>
      <c r="C103" s="60">
        <v>-1.69502925943365</v>
      </c>
      <c r="D103" s="60">
        <v>-4.5774888812863601</v>
      </c>
      <c r="E103" s="60">
        <v>-11.573210956546699</v>
      </c>
      <c r="F103" s="60">
        <v>-4.1680181641258596</v>
      </c>
      <c r="G103" s="60">
        <v>0.31308173971907599</v>
      </c>
      <c r="H103" s="60">
        <v>-2.2775200337410402</v>
      </c>
      <c r="I103" s="60">
        <v>-0.62149331031506605</v>
      </c>
      <c r="J103" s="66"/>
      <c r="K103" s="60"/>
      <c r="L103" s="60"/>
    </row>
    <row r="104" spans="1:12">
      <c r="A104" s="56" t="s">
        <v>528</v>
      </c>
      <c r="B104" s="56" t="s">
        <v>529</v>
      </c>
      <c r="C104" s="61">
        <v>1.97</v>
      </c>
      <c r="D104" s="61">
        <v>3.24</v>
      </c>
      <c r="E104" s="61">
        <v>2.92</v>
      </c>
      <c r="F104" s="61">
        <v>0.79</v>
      </c>
      <c r="G104" s="61">
        <v>3.54</v>
      </c>
      <c r="H104" s="61">
        <v>2.83</v>
      </c>
      <c r="I104" s="61">
        <v>3.58</v>
      </c>
      <c r="J104" s="67">
        <v>3.58</v>
      </c>
      <c r="K104" s="61">
        <v>4.1420000000000003</v>
      </c>
      <c r="L104" s="61">
        <v>4.8470000000000004</v>
      </c>
    </row>
    <row r="105" spans="1:12">
      <c r="A105" s="59" t="s">
        <v>234</v>
      </c>
      <c r="B105" s="59" t="s">
        <v>529</v>
      </c>
      <c r="C105" s="60">
        <v>3.6842109999999999</v>
      </c>
      <c r="D105" s="60">
        <v>64.467005</v>
      </c>
      <c r="E105" s="60">
        <v>-9.8765429999999999</v>
      </c>
      <c r="F105" s="60">
        <v>-72.945205000000001</v>
      </c>
      <c r="G105" s="60">
        <v>348.10126600000001</v>
      </c>
      <c r="H105" s="60">
        <v>-20.056497</v>
      </c>
      <c r="I105" s="60">
        <v>26.501767000000001</v>
      </c>
      <c r="J105" s="66">
        <v>26.9503546099291</v>
      </c>
      <c r="K105" s="60">
        <v>15.6983240223464</v>
      </c>
      <c r="L105" s="60">
        <v>17.0207629164655</v>
      </c>
    </row>
    <row r="106" spans="1:12">
      <c r="A106" s="56" t="s">
        <v>530</v>
      </c>
      <c r="B106" s="56" t="s">
        <v>531</v>
      </c>
      <c r="C106" s="61">
        <v>1.97</v>
      </c>
      <c r="D106" s="61">
        <v>3.24</v>
      </c>
      <c r="E106" s="61">
        <v>2.92</v>
      </c>
      <c r="F106" s="61">
        <v>0.79</v>
      </c>
      <c r="G106" s="61">
        <v>3.54</v>
      </c>
      <c r="H106" s="61">
        <v>2.83</v>
      </c>
      <c r="I106" s="61">
        <v>3.58</v>
      </c>
      <c r="J106" s="67">
        <v>3.58</v>
      </c>
      <c r="K106" s="61">
        <v>4.1420000000000003</v>
      </c>
      <c r="L106" s="61">
        <v>4.8470000000000004</v>
      </c>
    </row>
    <row r="107" spans="1:12">
      <c r="A107" s="59" t="s">
        <v>234</v>
      </c>
      <c r="B107" s="59" t="s">
        <v>531</v>
      </c>
      <c r="C107" s="60">
        <v>3.6842109999999999</v>
      </c>
      <c r="D107" s="60">
        <v>64.467005</v>
      </c>
      <c r="E107" s="60">
        <v>-9.8765429999999999</v>
      </c>
      <c r="F107" s="60">
        <v>-72.945205000000001</v>
      </c>
      <c r="G107" s="60">
        <v>348.10126600000001</v>
      </c>
      <c r="H107" s="60">
        <v>-20.056497</v>
      </c>
      <c r="I107" s="60">
        <v>26.501767000000001</v>
      </c>
      <c r="J107" s="66">
        <v>26.9503546099291</v>
      </c>
      <c r="K107" s="60">
        <v>15.6983240223464</v>
      </c>
      <c r="L107" s="60">
        <v>17.0207629164655</v>
      </c>
    </row>
    <row r="108" spans="1:12">
      <c r="A108" s="56" t="s">
        <v>532</v>
      </c>
      <c r="B108" s="56" t="s">
        <v>533</v>
      </c>
      <c r="C108" s="61">
        <v>2.0455999999999999</v>
      </c>
      <c r="D108" s="61">
        <v>2.6924000000000001</v>
      </c>
      <c r="E108" s="61">
        <v>2.8384</v>
      </c>
      <c r="F108" s="61">
        <v>1.1719999999999999</v>
      </c>
      <c r="G108" s="61">
        <v>3.1943000000000001</v>
      </c>
      <c r="H108" s="61">
        <v>2.9918</v>
      </c>
      <c r="I108" s="61">
        <v>3.5324</v>
      </c>
      <c r="J108" s="67">
        <v>3.54704</v>
      </c>
      <c r="K108" s="61">
        <v>4.1230000000000002</v>
      </c>
      <c r="L108" s="61">
        <v>4.8079999999999998</v>
      </c>
    </row>
    <row r="109" spans="1:12">
      <c r="A109" s="59" t="s">
        <v>234</v>
      </c>
      <c r="B109" s="59" t="s">
        <v>533</v>
      </c>
      <c r="C109" s="60">
        <v>7.79642492592109</v>
      </c>
      <c r="D109" s="60">
        <v>31.618112551556099</v>
      </c>
      <c r="E109" s="60">
        <v>5.4234143018604897</v>
      </c>
      <c r="F109" s="60">
        <v>-58.707728102745897</v>
      </c>
      <c r="G109" s="60">
        <v>172.547677879102</v>
      </c>
      <c r="H109" s="60">
        <v>-6.3422998009608298</v>
      </c>
      <c r="I109" s="60">
        <v>18.07062151897</v>
      </c>
      <c r="J109" s="66">
        <v>17.678947450489702</v>
      </c>
      <c r="K109" s="60">
        <v>16.720204711895299</v>
      </c>
      <c r="L109" s="60">
        <v>16.6141159349988</v>
      </c>
    </row>
    <row r="110" spans="1:12">
      <c r="A110" s="56"/>
      <c r="B110" s="57"/>
      <c r="C110" s="57"/>
      <c r="D110" s="57"/>
      <c r="E110" s="57"/>
      <c r="F110" s="57"/>
      <c r="G110" s="57"/>
      <c r="H110" s="57"/>
      <c r="I110" s="57"/>
      <c r="J110" s="64"/>
      <c r="K110" s="57"/>
      <c r="L110" s="57"/>
    </row>
    <row r="111" spans="1:12">
      <c r="A111" s="56" t="s">
        <v>387</v>
      </c>
      <c r="B111" s="57"/>
      <c r="C111" s="57"/>
      <c r="D111" s="57"/>
      <c r="E111" s="57"/>
      <c r="F111" s="57"/>
      <c r="G111" s="57"/>
      <c r="H111" s="57"/>
      <c r="I111" s="57"/>
      <c r="J111" s="64"/>
      <c r="K111" s="57"/>
      <c r="L111" s="57"/>
    </row>
    <row r="112" spans="1:12">
      <c r="A112" s="58" t="s">
        <v>388</v>
      </c>
      <c r="B112" s="58" t="s">
        <v>389</v>
      </c>
      <c r="C112" s="62" t="s">
        <v>390</v>
      </c>
      <c r="D112" s="62" t="s">
        <v>390</v>
      </c>
      <c r="E112" s="62" t="s">
        <v>390</v>
      </c>
      <c r="F112" s="62" t="s">
        <v>390</v>
      </c>
      <c r="G112" s="62" t="s">
        <v>390</v>
      </c>
      <c r="H112" s="62" t="s">
        <v>390</v>
      </c>
      <c r="I112" s="62" t="s">
        <v>390</v>
      </c>
      <c r="J112" s="68"/>
      <c r="K112" s="62"/>
      <c r="L112" s="62"/>
    </row>
    <row r="113" spans="1:12">
      <c r="A113" s="58" t="s">
        <v>534</v>
      </c>
      <c r="B113" s="58" t="s">
        <v>534</v>
      </c>
      <c r="C113" s="8">
        <v>5418300</v>
      </c>
      <c r="D113" s="8">
        <v>5800900</v>
      </c>
      <c r="E113" s="8">
        <v>6019800</v>
      </c>
      <c r="F113" s="8">
        <v>5210000</v>
      </c>
      <c r="G113" s="8">
        <v>8321200</v>
      </c>
      <c r="H113" s="8">
        <v>7939200</v>
      </c>
      <c r="I113" s="8">
        <v>8852700</v>
      </c>
      <c r="J113" s="65">
        <v>8873800</v>
      </c>
      <c r="K113" s="8">
        <v>8175750</v>
      </c>
      <c r="L113" s="8">
        <v>9268111</v>
      </c>
    </row>
    <row r="114" spans="1:12">
      <c r="A114" s="59" t="s">
        <v>234</v>
      </c>
      <c r="B114" s="59" t="s">
        <v>534</v>
      </c>
      <c r="C114" s="60">
        <v>4.1580159999999999</v>
      </c>
      <c r="D114" s="60">
        <v>7.0612550000000001</v>
      </c>
      <c r="E114" s="60">
        <v>3.773552</v>
      </c>
      <c r="F114" s="60">
        <v>-13.452273999999999</v>
      </c>
      <c r="G114" s="60">
        <v>59.715930999999998</v>
      </c>
      <c r="H114" s="60">
        <v>-4.5906840000000004</v>
      </c>
      <c r="I114" s="60">
        <v>11.506197</v>
      </c>
      <c r="J114" s="66">
        <v>11.0613266583229</v>
      </c>
      <c r="K114" s="60">
        <v>-7.6468196143549498</v>
      </c>
      <c r="L114" s="60">
        <v>13.3609882885362</v>
      </c>
    </row>
    <row r="115" spans="1:12">
      <c r="A115" s="58" t="s">
        <v>535</v>
      </c>
      <c r="B115" s="58" t="s">
        <v>536</v>
      </c>
      <c r="C115" s="8">
        <v>24.203099999999999</v>
      </c>
      <c r="D115" s="8">
        <v>23.466899999999999</v>
      </c>
      <c r="E115" s="8">
        <v>22.7089</v>
      </c>
      <c r="F115" s="8">
        <v>22.153199999999998</v>
      </c>
      <c r="G115" s="8">
        <v>28.634</v>
      </c>
      <c r="H115" s="8">
        <v>24.6174</v>
      </c>
      <c r="I115" s="8">
        <v>24.607500000000002</v>
      </c>
      <c r="J115" s="65">
        <v>24.666162621332202</v>
      </c>
      <c r="K115" s="8">
        <v>20.7107001877167</v>
      </c>
      <c r="L115" s="8">
        <v>21.3207219292179</v>
      </c>
    </row>
    <row r="116" spans="1:12">
      <c r="A116" s="59" t="s">
        <v>234</v>
      </c>
      <c r="B116" s="59" t="s">
        <v>536</v>
      </c>
      <c r="C116" s="60">
        <v>-0.82450982649873195</v>
      </c>
      <c r="D116" s="60">
        <v>-3.0417712572545401</v>
      </c>
      <c r="E116" s="60">
        <v>-3.2302606322207401</v>
      </c>
      <c r="F116" s="60">
        <v>-2.4466797250077299</v>
      </c>
      <c r="G116" s="60">
        <v>29.254018057129699</v>
      </c>
      <c r="H116" s="60">
        <v>-14.027096777888699</v>
      </c>
      <c r="I116" s="60">
        <v>-4.0349435126188701E-2</v>
      </c>
      <c r="J116" s="66"/>
      <c r="K116" s="60">
        <v>-15.8358626921863</v>
      </c>
      <c r="L116" s="60">
        <v>2.94544238471939</v>
      </c>
    </row>
    <row r="117" spans="1:12">
      <c r="A117" s="58" t="s">
        <v>537</v>
      </c>
      <c r="B117" s="58" t="s">
        <v>537</v>
      </c>
      <c r="C117" s="8">
        <v>4464400</v>
      </c>
      <c r="D117" s="8">
        <v>4740400</v>
      </c>
      <c r="E117" s="8">
        <v>4875300</v>
      </c>
      <c r="F117" s="8">
        <v>4002400</v>
      </c>
      <c r="G117" s="8">
        <v>7102900</v>
      </c>
      <c r="H117" s="8">
        <v>6684000</v>
      </c>
      <c r="I117" s="8">
        <v>7511600</v>
      </c>
      <c r="J117" s="65">
        <v>7511900</v>
      </c>
      <c r="K117" s="8"/>
      <c r="L117" s="8"/>
    </row>
    <row r="118" spans="1:12">
      <c r="A118" s="59" t="s">
        <v>234</v>
      </c>
      <c r="B118" s="59" t="s">
        <v>537</v>
      </c>
      <c r="C118" s="60">
        <v>4.3449807175411896</v>
      </c>
      <c r="D118" s="60">
        <v>6.1822417346115897</v>
      </c>
      <c r="E118" s="60">
        <v>2.8457514133828501</v>
      </c>
      <c r="F118" s="60">
        <v>-17.904539207843602</v>
      </c>
      <c r="G118" s="60">
        <v>77.466020387767301</v>
      </c>
      <c r="H118" s="60">
        <v>-5.8975911247518598</v>
      </c>
      <c r="I118" s="60">
        <v>12.3818073010174</v>
      </c>
      <c r="J118" s="66">
        <v>18.075187030471501</v>
      </c>
      <c r="K118" s="60"/>
      <c r="L118" s="60"/>
    </row>
    <row r="119" spans="1:12">
      <c r="A119" s="58" t="s">
        <v>105</v>
      </c>
      <c r="B119" s="58" t="s">
        <v>105</v>
      </c>
      <c r="C119" s="8">
        <v>4351200</v>
      </c>
      <c r="D119" s="8">
        <v>4495000</v>
      </c>
      <c r="E119" s="8">
        <v>4570500</v>
      </c>
      <c r="F119" s="8">
        <v>2133200</v>
      </c>
      <c r="G119" s="8">
        <v>5217900</v>
      </c>
      <c r="H119" s="8">
        <v>4855000</v>
      </c>
      <c r="I119" s="8">
        <v>5801400</v>
      </c>
      <c r="J119" s="65">
        <v>5822600</v>
      </c>
      <c r="K119" s="8">
        <v>6668344</v>
      </c>
      <c r="L119" s="8">
        <v>7617241</v>
      </c>
    </row>
    <row r="120" spans="1:12">
      <c r="A120" s="59" t="s">
        <v>234</v>
      </c>
      <c r="B120" s="59" t="s">
        <v>105</v>
      </c>
      <c r="C120" s="60">
        <v>4.2978019999999999</v>
      </c>
      <c r="D120" s="60">
        <v>3.3048350000000002</v>
      </c>
      <c r="E120" s="60">
        <v>1.6796439999999999</v>
      </c>
      <c r="F120" s="60">
        <v>-53.326770000000003</v>
      </c>
      <c r="G120" s="60">
        <v>144.60435000000001</v>
      </c>
      <c r="H120" s="60">
        <v>-6.9549050000000001</v>
      </c>
      <c r="I120" s="60">
        <v>19.493306</v>
      </c>
      <c r="J120" s="66">
        <v>18.6880834930083</v>
      </c>
      <c r="K120" s="60">
        <v>14.943703244044499</v>
      </c>
      <c r="L120" s="60">
        <v>14.2298747635095</v>
      </c>
    </row>
    <row r="121" spans="1:12">
      <c r="A121" s="58" t="s">
        <v>538</v>
      </c>
      <c r="B121" s="58" t="s">
        <v>539</v>
      </c>
      <c r="C121" s="8">
        <v>30.529599999999999</v>
      </c>
      <c r="D121" s="8">
        <v>29.598500000000001</v>
      </c>
      <c r="E121" s="8">
        <v>28.247800000000002</v>
      </c>
      <c r="F121" s="8">
        <v>21.511600000000001</v>
      </c>
      <c r="G121" s="8">
        <v>28.934699999999999</v>
      </c>
      <c r="H121" s="8">
        <v>25.956700000000001</v>
      </c>
      <c r="I121" s="8">
        <v>27.3691</v>
      </c>
      <c r="J121" s="65">
        <v>27.3691057272151</v>
      </c>
      <c r="K121" s="8">
        <v>68.188000000000002</v>
      </c>
      <c r="L121" s="8">
        <v>68.03</v>
      </c>
    </row>
    <row r="122" spans="1:12">
      <c r="A122" s="59" t="s">
        <v>234</v>
      </c>
      <c r="B122" s="59" t="s">
        <v>539</v>
      </c>
      <c r="C122" s="60">
        <v>-3.4844348186841301</v>
      </c>
      <c r="D122" s="60">
        <v>-3.0498370794138898</v>
      </c>
      <c r="E122" s="60">
        <v>-4.5633435078371303</v>
      </c>
      <c r="F122" s="60">
        <v>-23.846822270919802</v>
      </c>
      <c r="G122" s="60">
        <v>34.507420365785798</v>
      </c>
      <c r="H122" s="60">
        <v>-10.2923136361938</v>
      </c>
      <c r="I122" s="60">
        <v>5.4415633938698802</v>
      </c>
      <c r="J122" s="66">
        <v>5.44156328731047</v>
      </c>
      <c r="K122" s="60">
        <v>149.14222627512899</v>
      </c>
      <c r="L122" s="60">
        <v>-0.23171232474922501</v>
      </c>
    </row>
    <row r="123" spans="1:12">
      <c r="A123" s="58" t="s">
        <v>540</v>
      </c>
      <c r="B123" s="58" t="s">
        <v>541</v>
      </c>
      <c r="C123" s="8">
        <v>19.436499999999999</v>
      </c>
      <c r="D123" s="8">
        <v>18.184000000000001</v>
      </c>
      <c r="E123" s="8">
        <v>17.241599999999998</v>
      </c>
      <c r="F123" s="8">
        <v>9.0704999999999991</v>
      </c>
      <c r="G123" s="8">
        <v>17.955200000000001</v>
      </c>
      <c r="H123" s="8">
        <v>15.0541</v>
      </c>
      <c r="I123" s="8">
        <v>16.125900000000001</v>
      </c>
      <c r="J123" s="65">
        <v>16.184858626402299</v>
      </c>
      <c r="K123" s="8">
        <v>16.892159536747101</v>
      </c>
      <c r="L123" s="8">
        <v>17.5229965662731</v>
      </c>
    </row>
    <row r="124" spans="1:12">
      <c r="A124" s="59" t="s">
        <v>234</v>
      </c>
      <c r="B124" s="59" t="s">
        <v>541</v>
      </c>
      <c r="C124" s="60">
        <v>-0.69140892944047005</v>
      </c>
      <c r="D124" s="60">
        <v>-6.4437113889189996</v>
      </c>
      <c r="E124" s="60">
        <v>-5.1828514314075003</v>
      </c>
      <c r="F124" s="60">
        <v>-47.391699852925299</v>
      </c>
      <c r="G124" s="60">
        <v>97.952042109259907</v>
      </c>
      <c r="H124" s="60">
        <v>-16.157480062364002</v>
      </c>
      <c r="I124" s="60">
        <v>7.1196836162635604</v>
      </c>
      <c r="J124" s="66">
        <v>13.969826342101801</v>
      </c>
      <c r="K124" s="60">
        <v>4.7515370384656999</v>
      </c>
      <c r="L124" s="60">
        <v>3.7344960432897598</v>
      </c>
    </row>
    <row r="125" spans="1:12">
      <c r="A125" s="58" t="s">
        <v>542</v>
      </c>
      <c r="B125" s="58" t="s">
        <v>543</v>
      </c>
      <c r="C125" s="8">
        <v>13.379200000000001</v>
      </c>
      <c r="D125" s="8">
        <v>15.188700000000001</v>
      </c>
      <c r="E125" s="8">
        <v>13.197800000000001</v>
      </c>
      <c r="F125" s="8">
        <v>5.8669000000000002</v>
      </c>
      <c r="G125" s="8">
        <v>13.040100000000001</v>
      </c>
      <c r="H125" s="8">
        <v>10.756500000000001</v>
      </c>
      <c r="I125" s="8">
        <v>11.3123</v>
      </c>
      <c r="J125" s="65">
        <v>11.3590906058551</v>
      </c>
      <c r="K125" s="8">
        <v>11.8769770096345</v>
      </c>
      <c r="L125" s="8">
        <v>12.3863284187373</v>
      </c>
    </row>
    <row r="126" spans="1:12">
      <c r="A126" s="59" t="s">
        <v>234</v>
      </c>
      <c r="B126" s="59" t="s">
        <v>543</v>
      </c>
      <c r="C126" s="60">
        <v>1.3397282777309201</v>
      </c>
      <c r="D126" s="60">
        <v>13.524746174634499</v>
      </c>
      <c r="E126" s="60">
        <v>-13.1077758638523</v>
      </c>
      <c r="F126" s="60">
        <v>-55.546072479911601</v>
      </c>
      <c r="G126" s="60">
        <v>122.264123736222</v>
      </c>
      <c r="H126" s="60">
        <v>-17.512408853163201</v>
      </c>
      <c r="I126" s="60">
        <v>5.1677356064992503</v>
      </c>
      <c r="J126" s="66">
        <v>12.6708000089248</v>
      </c>
      <c r="K126" s="60">
        <v>4.9915504457180901</v>
      </c>
      <c r="L126" s="60">
        <v>4.2885610428440604</v>
      </c>
    </row>
    <row r="127" spans="1:12">
      <c r="A127" s="58" t="s">
        <v>544</v>
      </c>
      <c r="B127" s="58" t="s">
        <v>545</v>
      </c>
      <c r="C127" s="8">
        <v>80818.772599999997</v>
      </c>
      <c r="D127" s="8">
        <v>84946.735400000005</v>
      </c>
      <c r="E127" s="8">
        <v>76614.450899999996</v>
      </c>
      <c r="F127" s="8">
        <v>67386.819499999998</v>
      </c>
      <c r="G127" s="8">
        <v>75876.2402</v>
      </c>
      <c r="H127" s="8">
        <v>80224.626900000003</v>
      </c>
      <c r="I127" s="8">
        <v>94424.146999999997</v>
      </c>
      <c r="J127" s="65">
        <v>24602.624671916001</v>
      </c>
      <c r="K127" s="8"/>
      <c r="L127" s="8"/>
    </row>
    <row r="128" spans="1:12">
      <c r="A128" s="59" t="s">
        <v>234</v>
      </c>
      <c r="B128" s="59" t="s">
        <v>545</v>
      </c>
      <c r="C128" s="60">
        <v>-3.696450860923</v>
      </c>
      <c r="D128" s="60">
        <v>5.1076782053107204</v>
      </c>
      <c r="E128" s="60">
        <v>-9.8088343115895995</v>
      </c>
      <c r="F128" s="60">
        <v>-12.0442439756161</v>
      </c>
      <c r="G128" s="60">
        <v>12.5980433414218</v>
      </c>
      <c r="H128" s="60">
        <v>5.7308936829532398</v>
      </c>
      <c r="I128" s="60">
        <v>17.6997022868272</v>
      </c>
      <c r="J128" s="66">
        <v>17.542429679710899</v>
      </c>
      <c r="K128" s="60"/>
      <c r="L128" s="60"/>
    </row>
    <row r="129" spans="1:12">
      <c r="A129" s="58" t="s">
        <v>546</v>
      </c>
      <c r="B129" s="58" t="s">
        <v>547</v>
      </c>
      <c r="C129" s="8">
        <v>1.05</v>
      </c>
      <c r="D129" s="8">
        <v>1.32</v>
      </c>
      <c r="E129" s="8">
        <v>1.49</v>
      </c>
      <c r="F129" s="8">
        <v>1.68</v>
      </c>
      <c r="G129" s="8">
        <v>1.84</v>
      </c>
      <c r="H129" s="8">
        <v>1.96</v>
      </c>
      <c r="I129" s="8">
        <v>2.12</v>
      </c>
      <c r="J129" s="65">
        <v>2.12</v>
      </c>
      <c r="K129" s="8">
        <v>2.2989999999999999</v>
      </c>
      <c r="L129" s="8">
        <v>2.4700000000000002</v>
      </c>
    </row>
    <row r="130" spans="1:12">
      <c r="A130" s="59" t="s">
        <v>234</v>
      </c>
      <c r="B130" s="59" t="s">
        <v>547</v>
      </c>
      <c r="C130" s="60">
        <v>23.529411764705898</v>
      </c>
      <c r="D130" s="60">
        <v>25.714285714285701</v>
      </c>
      <c r="E130" s="60">
        <v>12.8787878787879</v>
      </c>
      <c r="F130" s="60">
        <v>12.751677852348999</v>
      </c>
      <c r="G130" s="60">
        <v>9.5238095238095308</v>
      </c>
      <c r="H130" s="60">
        <v>6.5217391304347796</v>
      </c>
      <c r="I130" s="60">
        <v>8.1632653061224598</v>
      </c>
      <c r="J130" s="66">
        <v>8.1632653061224598</v>
      </c>
      <c r="K130" s="60">
        <v>8.4433962264150892</v>
      </c>
      <c r="L130" s="60">
        <v>7.4380165289256297</v>
      </c>
    </row>
    <row r="131" spans="1:12">
      <c r="A131" s="58" t="s">
        <v>548</v>
      </c>
      <c r="B131" s="58" t="s">
        <v>549</v>
      </c>
      <c r="C131" s="8">
        <v>1521975</v>
      </c>
      <c r="D131" s="8">
        <v>1825164</v>
      </c>
      <c r="E131" s="8">
        <v>1819588</v>
      </c>
      <c r="F131" s="8">
        <v>1970304</v>
      </c>
      <c r="G131" s="8">
        <v>2166784</v>
      </c>
      <c r="H131" s="8">
        <v>2260468</v>
      </c>
      <c r="I131" s="8">
        <v>2431216</v>
      </c>
      <c r="J131" s="65">
        <v>2433309</v>
      </c>
      <c r="K131" s="8"/>
      <c r="L131" s="8"/>
    </row>
    <row r="132" spans="1:12">
      <c r="A132" s="59" t="s">
        <v>234</v>
      </c>
      <c r="B132" s="59" t="s">
        <v>549</v>
      </c>
      <c r="C132" s="60">
        <v>22.129273000000001</v>
      </c>
      <c r="D132" s="60">
        <v>19.920760999999999</v>
      </c>
      <c r="E132" s="60">
        <v>-0.30550699999999997</v>
      </c>
      <c r="F132" s="60">
        <v>8.2829739999999994</v>
      </c>
      <c r="G132" s="60">
        <v>9.9720650000000006</v>
      </c>
      <c r="H132" s="60">
        <v>4.3236429999999997</v>
      </c>
      <c r="I132" s="60">
        <v>7.5536570000000003</v>
      </c>
      <c r="J132" s="66">
        <v>7.9119146145089401</v>
      </c>
      <c r="K132" s="60"/>
      <c r="L132" s="60"/>
    </row>
    <row r="133" spans="1:12">
      <c r="A133" s="58" t="s">
        <v>550</v>
      </c>
      <c r="B133" s="58" t="s">
        <v>551</v>
      </c>
      <c r="C133" s="8" t="s">
        <v>261</v>
      </c>
      <c r="D133" s="8" t="s">
        <v>261</v>
      </c>
      <c r="E133" s="8" t="s">
        <v>261</v>
      </c>
      <c r="F133" s="8" t="s">
        <v>261</v>
      </c>
      <c r="G133" s="8" t="s">
        <v>261</v>
      </c>
      <c r="H133" s="8" t="s">
        <v>261</v>
      </c>
      <c r="I133" s="8" t="s">
        <v>261</v>
      </c>
      <c r="J133" s="65"/>
      <c r="K133" s="8"/>
      <c r="L133" s="8"/>
    </row>
    <row r="134" spans="1:12">
      <c r="A134" s="59" t="s">
        <v>234</v>
      </c>
      <c r="B134" s="59" t="s">
        <v>551</v>
      </c>
      <c r="C134" s="60" t="s">
        <v>261</v>
      </c>
      <c r="D134" s="60" t="s">
        <v>261</v>
      </c>
      <c r="E134" s="60" t="s">
        <v>261</v>
      </c>
      <c r="F134" s="60" t="s">
        <v>261</v>
      </c>
      <c r="G134" s="60" t="s">
        <v>261</v>
      </c>
      <c r="H134" s="60" t="s">
        <v>261</v>
      </c>
      <c r="I134" s="60" t="s">
        <v>261</v>
      </c>
      <c r="J134" s="66"/>
      <c r="K134" s="60"/>
      <c r="L134" s="60"/>
    </row>
    <row r="135" spans="1:12">
      <c r="A135" s="58" t="s">
        <v>552</v>
      </c>
      <c r="B135" s="58" t="s">
        <v>553</v>
      </c>
      <c r="C135" s="8">
        <v>953900</v>
      </c>
      <c r="D135" s="8">
        <v>1060500</v>
      </c>
      <c r="E135" s="8">
        <v>1144500</v>
      </c>
      <c r="F135" s="8">
        <v>1207600</v>
      </c>
      <c r="G135" s="8">
        <v>1218300</v>
      </c>
      <c r="H135" s="8">
        <v>1255200</v>
      </c>
      <c r="I135" s="8">
        <v>1341100</v>
      </c>
      <c r="J135" s="65">
        <v>1361900</v>
      </c>
      <c r="K135" s="8"/>
      <c r="L135" s="8"/>
    </row>
    <row r="136" spans="1:12">
      <c r="A136" s="59" t="s">
        <v>234</v>
      </c>
      <c r="B136" s="59" t="s">
        <v>553</v>
      </c>
      <c r="C136" s="60">
        <v>3.2918249999999998</v>
      </c>
      <c r="D136" s="60">
        <v>11.175176</v>
      </c>
      <c r="E136" s="60">
        <v>7.9207919999999996</v>
      </c>
      <c r="F136" s="60">
        <v>5.513325</v>
      </c>
      <c r="G136" s="60">
        <v>0.88605500000000004</v>
      </c>
      <c r="H136" s="60">
        <v>3.0288110000000001</v>
      </c>
      <c r="I136" s="60">
        <v>6.8435309999999996</v>
      </c>
      <c r="J136" s="66">
        <v>4.8260467980295596</v>
      </c>
      <c r="K136" s="60"/>
      <c r="L136" s="60"/>
    </row>
    <row r="137" spans="1:12">
      <c r="A137" s="58" t="s">
        <v>554</v>
      </c>
      <c r="B137" s="58" t="s">
        <v>555</v>
      </c>
      <c r="C137" s="8">
        <v>1329200</v>
      </c>
      <c r="D137" s="8">
        <v>1625200</v>
      </c>
      <c r="E137" s="8">
        <v>1666000</v>
      </c>
      <c r="F137" s="8">
        <v>2441100</v>
      </c>
      <c r="G137" s="8">
        <v>2559700</v>
      </c>
      <c r="H137" s="8">
        <v>2522000</v>
      </c>
      <c r="I137" s="8">
        <v>2679300</v>
      </c>
      <c r="J137" s="65">
        <v>2679300</v>
      </c>
      <c r="K137" s="8"/>
      <c r="L137" s="8"/>
    </row>
    <row r="138" spans="1:12">
      <c r="A138" s="59" t="s">
        <v>234</v>
      </c>
      <c r="B138" s="59" t="s">
        <v>555</v>
      </c>
      <c r="C138" s="60">
        <v>8.66579463701766</v>
      </c>
      <c r="D138" s="60">
        <v>22.269034005416799</v>
      </c>
      <c r="E138" s="60">
        <v>2.5104602510460201</v>
      </c>
      <c r="F138" s="60">
        <v>46.524609843937597</v>
      </c>
      <c r="G138" s="60">
        <v>4.8584654459055301</v>
      </c>
      <c r="H138" s="60">
        <v>-1.47282884713052</v>
      </c>
      <c r="I138" s="60">
        <v>6.2371134020618602</v>
      </c>
      <c r="J138" s="66">
        <v>6.2371134020618397</v>
      </c>
      <c r="K138" s="60"/>
      <c r="L138" s="60"/>
    </row>
    <row r="139" spans="1:12">
      <c r="A139" s="63" t="s">
        <v>417</v>
      </c>
      <c r="B139" s="63"/>
      <c r="C139" s="63" t="s">
        <v>418</v>
      </c>
      <c r="D139" s="63"/>
      <c r="E139" s="63"/>
      <c r="F139" s="63"/>
      <c r="G139" s="63"/>
      <c r="H139" s="63"/>
      <c r="I139" s="63"/>
      <c r="J139" s="63"/>
      <c r="K139" s="63"/>
      <c r="L139" s="6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51DE1-297F-3D4A-A442-A37C00746178}">
  <dimension ref="A1:X123"/>
  <sheetViews>
    <sheetView topLeftCell="A32" workbookViewId="0">
      <selection activeCell="J67" sqref="J67"/>
    </sheetView>
  </sheetViews>
  <sheetFormatPr baseColWidth="10" defaultColWidth="8.83203125" defaultRowHeight="16"/>
  <cols>
    <col min="1" max="1" width="35.1640625" customWidth="1"/>
    <col min="2" max="2" width="0" hidden="1" customWidth="1"/>
    <col min="3" max="12" width="13" customWidth="1"/>
  </cols>
  <sheetData>
    <row r="1" spans="1:12">
      <c r="A1" s="49"/>
      <c r="B1" s="49"/>
      <c r="C1" s="49"/>
      <c r="D1" s="49"/>
      <c r="E1" s="49"/>
      <c r="F1" s="49"/>
      <c r="G1" s="49"/>
      <c r="H1" s="49"/>
      <c r="I1" s="49"/>
      <c r="J1" s="49"/>
      <c r="K1" s="49"/>
      <c r="L1" s="49"/>
    </row>
    <row r="2" spans="1:12" ht="20">
      <c r="A2" s="50" t="s">
        <v>215</v>
      </c>
      <c r="B2" s="50"/>
      <c r="C2" s="50"/>
      <c r="D2" s="50"/>
      <c r="E2" s="50"/>
      <c r="F2" s="50"/>
      <c r="G2" s="50"/>
      <c r="H2" s="50"/>
      <c r="I2" s="50"/>
      <c r="J2" s="50"/>
      <c r="K2" s="50"/>
      <c r="L2" s="50"/>
    </row>
    <row r="3" spans="1:12">
      <c r="A3" s="51"/>
      <c r="B3" s="51"/>
      <c r="C3" s="51"/>
      <c r="D3" s="51"/>
      <c r="E3" s="51"/>
      <c r="F3" s="51"/>
      <c r="G3" s="51"/>
      <c r="H3" s="51"/>
      <c r="I3" s="51"/>
      <c r="J3" s="51"/>
      <c r="K3" s="51"/>
      <c r="L3" s="51"/>
    </row>
    <row r="4" spans="1:12">
      <c r="A4" s="52" t="s">
        <v>29</v>
      </c>
      <c r="B4" s="52"/>
      <c r="C4" s="53" t="s">
        <v>217</v>
      </c>
      <c r="D4" s="53" t="s">
        <v>218</v>
      </c>
      <c r="E4" s="53" t="s">
        <v>219</v>
      </c>
      <c r="F4" s="53" t="s">
        <v>220</v>
      </c>
      <c r="G4" s="53" t="s">
        <v>50</v>
      </c>
      <c r="H4" s="53" t="s">
        <v>51</v>
      </c>
      <c r="I4" s="53" t="s">
        <v>52</v>
      </c>
      <c r="J4" s="53" t="s">
        <v>53</v>
      </c>
      <c r="K4" s="53" t="s">
        <v>54</v>
      </c>
      <c r="L4" s="53" t="s">
        <v>420</v>
      </c>
    </row>
    <row r="5" spans="1:12">
      <c r="A5" s="54" t="s">
        <v>221</v>
      </c>
      <c r="B5" s="54"/>
      <c r="C5" s="55" t="s">
        <v>223</v>
      </c>
      <c r="D5" s="55" t="s">
        <v>224</v>
      </c>
      <c r="E5" s="55" t="s">
        <v>225</v>
      </c>
      <c r="F5" s="55" t="s">
        <v>226</v>
      </c>
      <c r="G5" s="55" t="s">
        <v>227</v>
      </c>
      <c r="H5" s="55" t="s">
        <v>228</v>
      </c>
      <c r="I5" s="55" t="s">
        <v>229</v>
      </c>
      <c r="J5" s="55" t="s">
        <v>230</v>
      </c>
      <c r="K5" s="55" t="s">
        <v>231</v>
      </c>
      <c r="L5" s="55" t="s">
        <v>231</v>
      </c>
    </row>
    <row r="6" spans="1:12">
      <c r="A6" s="56" t="s">
        <v>556</v>
      </c>
      <c r="B6" s="57"/>
      <c r="C6" s="57"/>
      <c r="D6" s="57"/>
      <c r="E6" s="57"/>
      <c r="F6" s="57"/>
      <c r="G6" s="57"/>
      <c r="H6" s="57"/>
      <c r="I6" s="57"/>
      <c r="J6" s="57"/>
      <c r="K6" s="57"/>
      <c r="L6" s="64"/>
    </row>
    <row r="7" spans="1:12">
      <c r="A7" s="58" t="s">
        <v>557</v>
      </c>
      <c r="B7" s="58" t="s">
        <v>558</v>
      </c>
      <c r="C7" s="8">
        <v>2757400</v>
      </c>
      <c r="D7" s="8">
        <v>2817700</v>
      </c>
      <c r="E7" s="8">
        <v>2884700</v>
      </c>
      <c r="F7" s="8">
        <v>4518300</v>
      </c>
      <c r="G7" s="8">
        <v>3599200</v>
      </c>
      <c r="H7" s="8">
        <v>928300</v>
      </c>
      <c r="I7" s="8">
        <v>4199300</v>
      </c>
      <c r="J7" s="8">
        <v>3281600</v>
      </c>
      <c r="K7" s="8">
        <v>4124500</v>
      </c>
      <c r="L7" s="65">
        <v>4124500</v>
      </c>
    </row>
    <row r="8" spans="1:12">
      <c r="A8" s="59" t="s">
        <v>234</v>
      </c>
      <c r="B8" s="59" t="s">
        <v>558</v>
      </c>
      <c r="C8" s="60">
        <v>33.330109762584001</v>
      </c>
      <c r="D8" s="60">
        <v>2.1868426778849499</v>
      </c>
      <c r="E8" s="60">
        <v>2.3778258863612201</v>
      </c>
      <c r="F8" s="60">
        <v>56.629805525704597</v>
      </c>
      <c r="G8" s="60">
        <v>-20.3417214439059</v>
      </c>
      <c r="H8" s="60">
        <v>-74.2081573683041</v>
      </c>
      <c r="I8" s="60">
        <v>352.36453732629502</v>
      </c>
      <c r="J8" s="60">
        <v>-21.8536422737123</v>
      </c>
      <c r="K8" s="60">
        <v>25.685641150658199</v>
      </c>
      <c r="L8" s="66">
        <v>25.685641150658199</v>
      </c>
    </row>
    <row r="9" spans="1:12">
      <c r="A9" s="58" t="s">
        <v>559</v>
      </c>
      <c r="B9" s="58" t="s">
        <v>560</v>
      </c>
      <c r="C9" s="8">
        <v>933800</v>
      </c>
      <c r="D9" s="8">
        <v>1030100</v>
      </c>
      <c r="E9" s="8">
        <v>1067100</v>
      </c>
      <c r="F9" s="8">
        <v>1305900</v>
      </c>
      <c r="G9" s="8">
        <v>1449300</v>
      </c>
      <c r="H9" s="8">
        <v>1503200</v>
      </c>
      <c r="I9" s="8">
        <v>1524100</v>
      </c>
      <c r="J9" s="8">
        <v>1529400</v>
      </c>
      <c r="K9" s="8">
        <v>1450300</v>
      </c>
      <c r="L9" s="65">
        <v>1450300</v>
      </c>
    </row>
    <row r="10" spans="1:12">
      <c r="A10" s="56" t="s">
        <v>284</v>
      </c>
      <c r="B10" s="56"/>
      <c r="C10" s="61">
        <v>933800</v>
      </c>
      <c r="D10" s="61">
        <v>1030100</v>
      </c>
      <c r="E10" s="61">
        <v>1067100</v>
      </c>
      <c r="F10" s="61">
        <v>1305900</v>
      </c>
      <c r="G10" s="61">
        <v>1449300</v>
      </c>
      <c r="H10" s="61">
        <v>1503200</v>
      </c>
      <c r="I10" s="61">
        <v>1524100</v>
      </c>
      <c r="J10" s="61">
        <v>1529400</v>
      </c>
      <c r="K10" s="61">
        <v>1450300</v>
      </c>
      <c r="L10" s="67"/>
    </row>
    <row r="11" spans="1:12">
      <c r="A11" s="58" t="s">
        <v>286</v>
      </c>
      <c r="B11" s="58"/>
      <c r="C11" s="8">
        <v>522300</v>
      </c>
      <c r="D11" s="8">
        <v>590100</v>
      </c>
      <c r="E11" s="8">
        <v>614900</v>
      </c>
      <c r="F11" s="8">
        <v>638300</v>
      </c>
      <c r="G11" s="8">
        <v>696100</v>
      </c>
      <c r="H11" s="8">
        <v>762000</v>
      </c>
      <c r="I11" s="8">
        <v>753900</v>
      </c>
      <c r="J11" s="8">
        <v>808400</v>
      </c>
      <c r="K11" s="8">
        <v>910100</v>
      </c>
      <c r="L11" s="65"/>
    </row>
    <row r="12" spans="1:12">
      <c r="A12" s="58" t="s">
        <v>285</v>
      </c>
      <c r="B12" s="58"/>
      <c r="C12" s="8" t="s">
        <v>261</v>
      </c>
      <c r="D12" s="8" t="s">
        <v>261</v>
      </c>
      <c r="E12" s="8" t="s">
        <v>261</v>
      </c>
      <c r="F12" s="8" t="s">
        <v>261</v>
      </c>
      <c r="G12" s="8">
        <v>511500</v>
      </c>
      <c r="H12" s="8">
        <v>518400</v>
      </c>
      <c r="I12" s="8">
        <v>544700</v>
      </c>
      <c r="J12" s="8">
        <v>513000</v>
      </c>
      <c r="K12" s="8">
        <v>335100</v>
      </c>
      <c r="L12" s="65"/>
    </row>
    <row r="13" spans="1:12">
      <c r="A13" s="58" t="s">
        <v>288</v>
      </c>
      <c r="B13" s="58"/>
      <c r="C13" s="8">
        <v>16300</v>
      </c>
      <c r="D13" s="8">
        <v>13300</v>
      </c>
      <c r="E13" s="8">
        <v>160700</v>
      </c>
      <c r="F13" s="8">
        <v>163600</v>
      </c>
      <c r="G13" s="8">
        <v>156700</v>
      </c>
      <c r="H13" s="8">
        <v>149700</v>
      </c>
      <c r="I13" s="8">
        <v>141900</v>
      </c>
      <c r="J13" s="8">
        <v>126400</v>
      </c>
      <c r="K13" s="8">
        <v>117300</v>
      </c>
      <c r="L13" s="65"/>
    </row>
    <row r="14" spans="1:12">
      <c r="A14" s="58" t="s">
        <v>302</v>
      </c>
      <c r="B14" s="58"/>
      <c r="C14" s="8">
        <v>189800</v>
      </c>
      <c r="D14" s="8">
        <v>202500</v>
      </c>
      <c r="E14" s="8">
        <v>55700</v>
      </c>
      <c r="F14" s="8">
        <v>502700</v>
      </c>
      <c r="G14" s="8">
        <v>72000</v>
      </c>
      <c r="H14" s="8">
        <v>71900</v>
      </c>
      <c r="I14" s="8">
        <v>82400</v>
      </c>
      <c r="J14" s="8">
        <v>81500</v>
      </c>
      <c r="K14" s="8">
        <v>87700</v>
      </c>
      <c r="L14" s="65"/>
    </row>
    <row r="15" spans="1:12">
      <c r="A15" s="58" t="s">
        <v>287</v>
      </c>
      <c r="B15" s="58"/>
      <c r="C15" s="8">
        <v>2700</v>
      </c>
      <c r="D15" s="8">
        <v>2800</v>
      </c>
      <c r="E15" s="8">
        <v>3000</v>
      </c>
      <c r="F15" s="8">
        <v>1300</v>
      </c>
      <c r="G15" s="8">
        <v>13000</v>
      </c>
      <c r="H15" s="8">
        <v>1200</v>
      </c>
      <c r="I15" s="8">
        <v>1200</v>
      </c>
      <c r="J15" s="8">
        <v>100</v>
      </c>
      <c r="K15" s="8">
        <v>100</v>
      </c>
      <c r="L15" s="65"/>
    </row>
    <row r="16" spans="1:12">
      <c r="A16" s="58" t="s">
        <v>289</v>
      </c>
      <c r="B16" s="58"/>
      <c r="C16" s="8">
        <v>150700</v>
      </c>
      <c r="D16" s="8">
        <v>180600</v>
      </c>
      <c r="E16" s="8">
        <v>202200</v>
      </c>
      <c r="F16" s="8" t="s">
        <v>261</v>
      </c>
      <c r="G16" s="8" t="s">
        <v>261</v>
      </c>
      <c r="H16" s="8" t="s">
        <v>261</v>
      </c>
      <c r="I16" s="8" t="s">
        <v>261</v>
      </c>
      <c r="J16" s="8" t="s">
        <v>261</v>
      </c>
      <c r="K16" s="8" t="s">
        <v>261</v>
      </c>
      <c r="L16" s="65"/>
    </row>
    <row r="17" spans="1:12">
      <c r="A17" s="58" t="s">
        <v>290</v>
      </c>
      <c r="B17" s="58"/>
      <c r="C17" s="8">
        <v>52000</v>
      </c>
      <c r="D17" s="8">
        <v>40800</v>
      </c>
      <c r="E17" s="8">
        <v>30600</v>
      </c>
      <c r="F17" s="8" t="s">
        <v>261</v>
      </c>
      <c r="G17" s="8" t="s">
        <v>261</v>
      </c>
      <c r="H17" s="8" t="s">
        <v>261</v>
      </c>
      <c r="I17" s="8" t="s">
        <v>261</v>
      </c>
      <c r="J17" s="8" t="s">
        <v>261</v>
      </c>
      <c r="K17" s="8" t="s">
        <v>261</v>
      </c>
      <c r="L17" s="65"/>
    </row>
    <row r="18" spans="1:12">
      <c r="A18" s="59" t="s">
        <v>234</v>
      </c>
      <c r="B18" s="59" t="s">
        <v>560</v>
      </c>
      <c r="C18" s="60">
        <v>24.7728487439872</v>
      </c>
      <c r="D18" s="60">
        <v>10.3127007924609</v>
      </c>
      <c r="E18" s="60">
        <v>3.5918842830793101</v>
      </c>
      <c r="F18" s="60">
        <v>22.3784087714366</v>
      </c>
      <c r="G18" s="60">
        <v>10.9809326900988</v>
      </c>
      <c r="H18" s="60">
        <v>3.7190367763748098</v>
      </c>
      <c r="I18" s="60">
        <v>1.39036721660457</v>
      </c>
      <c r="J18" s="60">
        <v>0.347746210878563</v>
      </c>
      <c r="K18" s="60">
        <v>-5.1719628612527897</v>
      </c>
      <c r="L18" s="66">
        <v>-5.1719628612527897</v>
      </c>
    </row>
    <row r="19" spans="1:12">
      <c r="A19" s="58" t="s">
        <v>561</v>
      </c>
      <c r="B19" s="58" t="s">
        <v>562</v>
      </c>
      <c r="C19" s="8">
        <v>40600</v>
      </c>
      <c r="D19" s="8">
        <v>745900</v>
      </c>
      <c r="E19" s="8">
        <v>317500</v>
      </c>
      <c r="F19" s="8">
        <v>-783700</v>
      </c>
      <c r="G19" s="8">
        <v>-1791300</v>
      </c>
      <c r="H19" s="8">
        <v>891800</v>
      </c>
      <c r="I19" s="8">
        <v>-362500</v>
      </c>
      <c r="J19" s="8">
        <v>93700</v>
      </c>
      <c r="K19" s="8">
        <v>29800</v>
      </c>
      <c r="L19" s="65">
        <v>29800</v>
      </c>
    </row>
    <row r="20" spans="1:12">
      <c r="A20" s="59" t="s">
        <v>234</v>
      </c>
      <c r="B20" s="59" t="s">
        <v>562</v>
      </c>
      <c r="C20" s="60">
        <v>-90.319504053409602</v>
      </c>
      <c r="D20" s="60">
        <v>1737.1921182266001</v>
      </c>
      <c r="E20" s="60">
        <v>-57.433972382356899</v>
      </c>
      <c r="F20" s="60" t="s">
        <v>261</v>
      </c>
      <c r="G20" s="60">
        <v>-128.56960571647301</v>
      </c>
      <c r="H20" s="60" t="s">
        <v>261</v>
      </c>
      <c r="I20" s="60" t="s">
        <v>261</v>
      </c>
      <c r="J20" s="60" t="s">
        <v>261</v>
      </c>
      <c r="K20" s="60">
        <v>-68.196371398078995</v>
      </c>
      <c r="L20" s="66">
        <v>-89.699274109920495</v>
      </c>
    </row>
    <row r="21" spans="1:12">
      <c r="A21" s="58" t="s">
        <v>563</v>
      </c>
      <c r="B21" s="58" t="s">
        <v>564</v>
      </c>
      <c r="C21" s="8">
        <v>77400</v>
      </c>
      <c r="D21" s="8">
        <v>218100</v>
      </c>
      <c r="E21" s="8">
        <v>176000</v>
      </c>
      <c r="F21" s="8">
        <v>250300</v>
      </c>
      <c r="G21" s="8">
        <v>308000</v>
      </c>
      <c r="H21" s="8">
        <v>248600</v>
      </c>
      <c r="I21" s="8">
        <v>319100</v>
      </c>
      <c r="J21" s="8">
        <v>271500</v>
      </c>
      <c r="K21" s="8">
        <v>302700</v>
      </c>
      <c r="L21" s="65">
        <v>302700</v>
      </c>
    </row>
    <row r="22" spans="1:12">
      <c r="A22" s="59" t="s">
        <v>234</v>
      </c>
      <c r="B22" s="59" t="s">
        <v>564</v>
      </c>
      <c r="C22" s="60">
        <v>12.5</v>
      </c>
      <c r="D22" s="60">
        <v>181.78294573643399</v>
      </c>
      <c r="E22" s="60">
        <v>-19.303071985327801</v>
      </c>
      <c r="F22" s="60">
        <v>42.215909090909101</v>
      </c>
      <c r="G22" s="60">
        <v>23.052337195365599</v>
      </c>
      <c r="H22" s="60">
        <v>-19.285714285714299</v>
      </c>
      <c r="I22" s="60">
        <v>28.358809332260702</v>
      </c>
      <c r="J22" s="60">
        <v>-14.9169539329364</v>
      </c>
      <c r="K22" s="60">
        <v>11.4917127071823</v>
      </c>
      <c r="L22" s="66">
        <v>11.4917127071823</v>
      </c>
    </row>
    <row r="23" spans="1:12">
      <c r="A23" s="58" t="s">
        <v>565</v>
      </c>
      <c r="B23" s="58" t="s">
        <v>566</v>
      </c>
      <c r="C23" s="8">
        <v>21200</v>
      </c>
      <c r="D23" s="8">
        <v>265700</v>
      </c>
      <c r="E23" s="8">
        <v>95100</v>
      </c>
      <c r="F23" s="8">
        <v>714900</v>
      </c>
      <c r="G23" s="8">
        <v>-1495400</v>
      </c>
      <c r="H23" s="8">
        <v>-25800</v>
      </c>
      <c r="I23" s="8">
        <v>-146200</v>
      </c>
      <c r="J23" s="8">
        <v>-37800</v>
      </c>
      <c r="K23" s="8">
        <v>-59400</v>
      </c>
      <c r="L23" s="65">
        <v>-59399.998855590798</v>
      </c>
    </row>
    <row r="24" spans="1:12">
      <c r="A24" s="59" t="s">
        <v>234</v>
      </c>
      <c r="B24" s="59" t="s">
        <v>566</v>
      </c>
      <c r="C24" s="60">
        <v>107.843137254902</v>
      </c>
      <c r="D24" s="60">
        <v>1153.30188679245</v>
      </c>
      <c r="E24" s="60">
        <v>-64.207753105005693</v>
      </c>
      <c r="F24" s="60">
        <v>651.73501577287095</v>
      </c>
      <c r="G24" s="60" t="s">
        <v>261</v>
      </c>
      <c r="H24" s="60">
        <v>98.274709107931002</v>
      </c>
      <c r="I24" s="60">
        <v>-466.66666666666703</v>
      </c>
      <c r="J24" s="60">
        <v>74.145006839945296</v>
      </c>
      <c r="K24" s="60">
        <v>-57.142857142857203</v>
      </c>
      <c r="L24" s="66">
        <v>-57.142856841004502</v>
      </c>
    </row>
    <row r="25" spans="1:12">
      <c r="A25" s="58" t="s">
        <v>567</v>
      </c>
      <c r="B25" s="58" t="s">
        <v>568</v>
      </c>
      <c r="C25" s="8">
        <v>-58000</v>
      </c>
      <c r="D25" s="8">
        <v>262100</v>
      </c>
      <c r="E25" s="8">
        <v>46400</v>
      </c>
      <c r="F25" s="8">
        <v>-1748900</v>
      </c>
      <c r="G25" s="8">
        <v>-603900</v>
      </c>
      <c r="H25" s="8">
        <v>669000</v>
      </c>
      <c r="I25" s="8">
        <v>-535400</v>
      </c>
      <c r="J25" s="8">
        <v>-140000</v>
      </c>
      <c r="K25" s="8">
        <v>-213500</v>
      </c>
      <c r="L25" s="65">
        <v>-213500</v>
      </c>
    </row>
    <row r="26" spans="1:12">
      <c r="A26" s="59" t="s">
        <v>234</v>
      </c>
      <c r="B26" s="59" t="s">
        <v>568</v>
      </c>
      <c r="C26" s="60" t="s">
        <v>261</v>
      </c>
      <c r="D26" s="60" t="s">
        <v>261</v>
      </c>
      <c r="E26" s="60">
        <v>-82.296833269744397</v>
      </c>
      <c r="F26" s="60" t="s">
        <v>261</v>
      </c>
      <c r="G26" s="60">
        <v>65.4697238264052</v>
      </c>
      <c r="H26" s="60" t="s">
        <v>261</v>
      </c>
      <c r="I26" s="60" t="s">
        <v>261</v>
      </c>
      <c r="J26" s="60">
        <v>73.851326111318599</v>
      </c>
      <c r="K26" s="60">
        <v>-52.5</v>
      </c>
      <c r="L26" s="66"/>
    </row>
    <row r="27" spans="1:12">
      <c r="A27" s="58" t="s">
        <v>569</v>
      </c>
      <c r="B27" s="58" t="s">
        <v>570</v>
      </c>
      <c r="C27" s="8">
        <v>17300</v>
      </c>
      <c r="D27" s="8">
        <v>104200</v>
      </c>
      <c r="E27" s="8">
        <v>-17500</v>
      </c>
      <c r="F27" s="8">
        <v>6897300</v>
      </c>
      <c r="G27" s="8">
        <v>1789800</v>
      </c>
      <c r="H27" s="8">
        <v>-1725500</v>
      </c>
      <c r="I27" s="8">
        <v>628200</v>
      </c>
      <c r="J27" s="8">
        <v>-507400</v>
      </c>
      <c r="K27" s="8">
        <v>404100</v>
      </c>
      <c r="L27" s="65">
        <v>404100</v>
      </c>
    </row>
    <row r="28" spans="1:12">
      <c r="A28" s="59" t="s">
        <v>234</v>
      </c>
      <c r="B28" s="59" t="s">
        <v>570</v>
      </c>
      <c r="C28" s="60" t="s">
        <v>261</v>
      </c>
      <c r="D28" s="60">
        <v>502.31213872832399</v>
      </c>
      <c r="E28" s="60" t="s">
        <v>261</v>
      </c>
      <c r="F28" s="60" t="s">
        <v>261</v>
      </c>
      <c r="G28" s="60">
        <v>-74.0507154973685</v>
      </c>
      <c r="H28" s="60" t="s">
        <v>261</v>
      </c>
      <c r="I28" s="60" t="s">
        <v>261</v>
      </c>
      <c r="J28" s="60" t="s">
        <v>261</v>
      </c>
      <c r="K28" s="60" t="s">
        <v>261</v>
      </c>
      <c r="L28" s="66"/>
    </row>
    <row r="29" spans="1:12">
      <c r="A29" s="58" t="s">
        <v>571</v>
      </c>
      <c r="B29" s="58" t="s">
        <v>572</v>
      </c>
      <c r="C29" s="8">
        <v>-82800</v>
      </c>
      <c r="D29" s="8">
        <v>-55600</v>
      </c>
      <c r="E29" s="8">
        <v>-96800</v>
      </c>
      <c r="F29" s="8">
        <v>131000</v>
      </c>
      <c r="G29" s="8">
        <v>-197700</v>
      </c>
      <c r="H29" s="8">
        <v>-2700</v>
      </c>
      <c r="I29" s="8">
        <v>-43000</v>
      </c>
      <c r="J29" s="8">
        <v>-326100</v>
      </c>
      <c r="K29" s="8">
        <v>-4100</v>
      </c>
      <c r="L29" s="65">
        <v>-4099.9998092651304</v>
      </c>
    </row>
    <row r="30" spans="1:12">
      <c r="A30" s="59" t="s">
        <v>234</v>
      </c>
      <c r="B30" s="59" t="s">
        <v>572</v>
      </c>
      <c r="C30" s="60">
        <v>-3.8895859473023799</v>
      </c>
      <c r="D30" s="60">
        <v>32.850241545893702</v>
      </c>
      <c r="E30" s="60">
        <v>-74.100719424460394</v>
      </c>
      <c r="F30" s="60" t="s">
        <v>261</v>
      </c>
      <c r="G30" s="60" t="s">
        <v>261</v>
      </c>
      <c r="H30" s="60">
        <v>98.634294385432497</v>
      </c>
      <c r="I30" s="60">
        <v>-1492.5925925925901</v>
      </c>
      <c r="J30" s="60">
        <v>-658.37209302325596</v>
      </c>
      <c r="K30" s="60">
        <v>98.742716957988307</v>
      </c>
      <c r="L30" s="66">
        <v>98.742716987062806</v>
      </c>
    </row>
    <row r="31" spans="1:12">
      <c r="A31" s="58" t="s">
        <v>573</v>
      </c>
      <c r="B31" s="58" t="s">
        <v>574</v>
      </c>
      <c r="C31" s="8">
        <v>-207900</v>
      </c>
      <c r="D31" s="8">
        <v>-67500</v>
      </c>
      <c r="E31" s="8">
        <v>14000</v>
      </c>
      <c r="F31" s="8">
        <v>-41200</v>
      </c>
      <c r="G31" s="8">
        <v>-173000</v>
      </c>
      <c r="H31" s="8">
        <v>-10900</v>
      </c>
      <c r="I31" s="8">
        <v>-49800</v>
      </c>
      <c r="J31" s="8">
        <v>-641000</v>
      </c>
      <c r="K31" s="8">
        <v>366400</v>
      </c>
      <c r="L31" s="65">
        <v>366399.99847263098</v>
      </c>
    </row>
    <row r="32" spans="1:12">
      <c r="A32" s="59" t="s">
        <v>234</v>
      </c>
      <c r="B32" s="59" t="s">
        <v>574</v>
      </c>
      <c r="C32" s="60" t="s">
        <v>261</v>
      </c>
      <c r="D32" s="60">
        <v>67.532467532467507</v>
      </c>
      <c r="E32" s="60" t="s">
        <v>261</v>
      </c>
      <c r="F32" s="60" t="s">
        <v>261</v>
      </c>
      <c r="G32" s="60">
        <v>-319.90291262135901</v>
      </c>
      <c r="H32" s="60">
        <v>93.699421965317896</v>
      </c>
      <c r="I32" s="60">
        <v>-356.88073394495399</v>
      </c>
      <c r="J32" s="60">
        <v>-1187.1485943775101</v>
      </c>
      <c r="K32" s="60" t="s">
        <v>261</v>
      </c>
      <c r="L32" s="66"/>
    </row>
    <row r="33" spans="1:13">
      <c r="A33" s="58" t="s">
        <v>575</v>
      </c>
      <c r="B33" s="58" t="s">
        <v>576</v>
      </c>
      <c r="C33" s="8">
        <v>137700</v>
      </c>
      <c r="D33" s="8">
        <v>46900</v>
      </c>
      <c r="E33" s="8">
        <v>46400</v>
      </c>
      <c r="F33" s="8">
        <v>391600</v>
      </c>
      <c r="G33" s="8">
        <v>31900</v>
      </c>
      <c r="H33" s="8">
        <v>-210800</v>
      </c>
      <c r="I33" s="8">
        <v>189900</v>
      </c>
      <c r="J33" s="8">
        <v>345500</v>
      </c>
      <c r="K33" s="8">
        <v>100100</v>
      </c>
      <c r="L33" s="65">
        <v>100100</v>
      </c>
    </row>
    <row r="34" spans="1:13">
      <c r="A34" s="59" t="s">
        <v>234</v>
      </c>
      <c r="B34" s="59" t="s">
        <v>576</v>
      </c>
      <c r="C34" s="60">
        <v>127.980132450331</v>
      </c>
      <c r="D34" s="60">
        <v>-65.940450254175701</v>
      </c>
      <c r="E34" s="60">
        <v>-1.0660980810234499</v>
      </c>
      <c r="F34" s="60">
        <v>743.96551724137896</v>
      </c>
      <c r="G34" s="60">
        <v>-91.8539325842697</v>
      </c>
      <c r="H34" s="60" t="s">
        <v>261</v>
      </c>
      <c r="I34" s="60" t="s">
        <v>261</v>
      </c>
      <c r="J34" s="60">
        <v>81.937862032648795</v>
      </c>
      <c r="K34" s="60">
        <v>-71.027496382055006</v>
      </c>
      <c r="L34" s="66">
        <v>-71.027496382055006</v>
      </c>
    </row>
    <row r="35" spans="1:13">
      <c r="A35" s="58" t="s">
        <v>577</v>
      </c>
      <c r="B35" s="58" t="s">
        <v>578</v>
      </c>
      <c r="C35" s="8">
        <v>170300</v>
      </c>
      <c r="D35" s="8">
        <v>180400</v>
      </c>
      <c r="E35" s="8">
        <v>18900</v>
      </c>
      <c r="F35" s="8">
        <v>6415900</v>
      </c>
      <c r="G35" s="8">
        <v>2128600</v>
      </c>
      <c r="H35" s="8">
        <v>-1501100</v>
      </c>
      <c r="I35" s="8">
        <v>531100</v>
      </c>
      <c r="J35" s="8">
        <v>114200</v>
      </c>
      <c r="K35" s="8">
        <v>-58300</v>
      </c>
      <c r="L35" s="65">
        <v>-58300</v>
      </c>
    </row>
    <row r="36" spans="1:13">
      <c r="A36" s="59" t="s">
        <v>234</v>
      </c>
      <c r="B36" s="59" t="s">
        <v>578</v>
      </c>
      <c r="C36" s="60" t="s">
        <v>261</v>
      </c>
      <c r="D36" s="60">
        <v>5.9307105108631797</v>
      </c>
      <c r="E36" s="60">
        <v>-89.523281596452307</v>
      </c>
      <c r="F36" s="60">
        <v>33846.560846560897</v>
      </c>
      <c r="G36" s="60">
        <v>-66.823048987671299</v>
      </c>
      <c r="H36" s="60" t="s">
        <v>261</v>
      </c>
      <c r="I36" s="60" t="s">
        <v>261</v>
      </c>
      <c r="J36" s="60">
        <v>-78.497458105818097</v>
      </c>
      <c r="K36" s="60" t="s">
        <v>261</v>
      </c>
      <c r="L36" s="66">
        <v>28.3783783783785</v>
      </c>
    </row>
    <row r="37" spans="1:13">
      <c r="A37" s="58" t="s">
        <v>579</v>
      </c>
      <c r="B37" s="58" t="s">
        <v>580</v>
      </c>
      <c r="C37" s="8">
        <v>0</v>
      </c>
      <c r="D37" s="8">
        <v>0</v>
      </c>
      <c r="E37" s="8">
        <v>0</v>
      </c>
      <c r="F37" s="8">
        <v>0</v>
      </c>
      <c r="G37" s="8">
        <v>0</v>
      </c>
      <c r="H37" s="8">
        <v>0</v>
      </c>
      <c r="I37" s="8">
        <v>0</v>
      </c>
      <c r="J37" s="8">
        <v>0</v>
      </c>
      <c r="K37" s="8">
        <v>0</v>
      </c>
      <c r="L37" s="65">
        <v>0</v>
      </c>
    </row>
    <row r="38" spans="1:13">
      <c r="A38" s="56" t="s">
        <v>556</v>
      </c>
      <c r="B38" s="56" t="s">
        <v>581</v>
      </c>
      <c r="C38" s="61">
        <v>3749100</v>
      </c>
      <c r="D38" s="61">
        <v>4697900</v>
      </c>
      <c r="E38" s="61">
        <v>4251800</v>
      </c>
      <c r="F38" s="61">
        <v>11937800</v>
      </c>
      <c r="G38" s="61">
        <v>5047000</v>
      </c>
      <c r="H38" s="61">
        <v>1597800</v>
      </c>
      <c r="I38" s="61">
        <v>5989100</v>
      </c>
      <c r="J38" s="61">
        <v>4397300</v>
      </c>
      <c r="K38" s="61">
        <v>6008700</v>
      </c>
      <c r="L38" s="67">
        <v>6008700</v>
      </c>
      <c r="M38">
        <f>L38/BS!L74</f>
        <v>0.20406174118286324</v>
      </c>
    </row>
    <row r="39" spans="1:13">
      <c r="A39" s="59" t="s">
        <v>234</v>
      </c>
      <c r="B39" s="59" t="s">
        <v>581</v>
      </c>
      <c r="C39" s="60">
        <v>516.83119447186596</v>
      </c>
      <c r="D39" s="60">
        <v>25.30740711104</v>
      </c>
      <c r="E39" s="60">
        <v>-9.4957321356350608</v>
      </c>
      <c r="F39" s="60">
        <v>180.77049720118501</v>
      </c>
      <c r="G39" s="60">
        <v>-57.722528439075901</v>
      </c>
      <c r="H39" s="60">
        <v>-68.341589062809604</v>
      </c>
      <c r="I39" s="60">
        <v>274.83414695205897</v>
      </c>
      <c r="J39" s="60">
        <v>-26.578283882386302</v>
      </c>
      <c r="K39" s="60">
        <v>36.645214108657598</v>
      </c>
      <c r="L39" s="66">
        <v>36.645214108657598</v>
      </c>
    </row>
    <row r="40" spans="1:13">
      <c r="A40" s="56"/>
      <c r="B40" s="57"/>
      <c r="C40" s="57"/>
      <c r="D40" s="57"/>
      <c r="E40" s="57"/>
      <c r="F40" s="57"/>
      <c r="G40" s="57"/>
      <c r="H40" s="57"/>
      <c r="I40" s="57"/>
      <c r="J40" s="57"/>
      <c r="K40" s="57"/>
      <c r="L40" s="64"/>
    </row>
    <row r="41" spans="1:13">
      <c r="A41" s="56" t="s">
        <v>582</v>
      </c>
      <c r="B41" s="57"/>
      <c r="C41" s="57"/>
      <c r="D41" s="57"/>
      <c r="E41" s="57"/>
      <c r="F41" s="57"/>
      <c r="G41" s="57"/>
      <c r="H41" s="57"/>
      <c r="I41" s="57"/>
      <c r="J41" s="57"/>
      <c r="K41" s="57"/>
      <c r="L41" s="64"/>
    </row>
    <row r="42" spans="1:13">
      <c r="A42" s="58" t="s">
        <v>583</v>
      </c>
      <c r="B42" s="58" t="s">
        <v>584</v>
      </c>
      <c r="C42" s="8">
        <v>-1303700</v>
      </c>
      <c r="D42" s="8">
        <v>-1440300</v>
      </c>
      <c r="E42" s="8">
        <v>-1519400</v>
      </c>
      <c r="F42" s="8">
        <v>-1976400</v>
      </c>
      <c r="G42" s="8">
        <v>-1806600</v>
      </c>
      <c r="H42" s="8">
        <v>-1483600</v>
      </c>
      <c r="I42" s="8">
        <v>-1470000</v>
      </c>
      <c r="J42" s="8">
        <v>-1841300</v>
      </c>
      <c r="K42" s="8">
        <v>-2223600</v>
      </c>
      <c r="L42" s="65">
        <v>-2223600</v>
      </c>
    </row>
    <row r="43" spans="1:13">
      <c r="A43" s="59" t="s">
        <v>234</v>
      </c>
      <c r="B43" s="59" t="s">
        <v>584</v>
      </c>
      <c r="C43" s="60">
        <v>-12.3008011025928</v>
      </c>
      <c r="D43" s="60">
        <v>-10.477870675768999</v>
      </c>
      <c r="E43" s="60">
        <v>-5.4919114073457003</v>
      </c>
      <c r="F43" s="60">
        <v>-30.077662235092799</v>
      </c>
      <c r="G43" s="60">
        <v>8.5913782635094194</v>
      </c>
      <c r="H43" s="60">
        <v>17.878888519871602</v>
      </c>
      <c r="I43" s="60">
        <v>0.91668913453760503</v>
      </c>
      <c r="J43" s="60">
        <v>-25.2585034013605</v>
      </c>
      <c r="K43" s="60">
        <v>-20.762504752077302</v>
      </c>
      <c r="L43" s="66">
        <v>-20.762504752077302</v>
      </c>
    </row>
    <row r="44" spans="1:13">
      <c r="A44" s="58" t="s">
        <v>585</v>
      </c>
      <c r="B44" s="58" t="s">
        <v>586</v>
      </c>
      <c r="C44" s="8">
        <v>0</v>
      </c>
      <c r="D44" s="8">
        <v>0</v>
      </c>
      <c r="E44" s="8">
        <v>0</v>
      </c>
      <c r="F44" s="8">
        <v>0</v>
      </c>
      <c r="G44" s="8">
        <v>0</v>
      </c>
      <c r="H44" s="8">
        <v>0</v>
      </c>
      <c r="I44" s="8">
        <v>0</v>
      </c>
      <c r="J44" s="8">
        <v>0</v>
      </c>
      <c r="K44" s="8">
        <v>110000</v>
      </c>
      <c r="L44" s="65">
        <v>110000</v>
      </c>
    </row>
    <row r="45" spans="1:13">
      <c r="A45" s="59" t="s">
        <v>587</v>
      </c>
      <c r="B45" s="59" t="s">
        <v>588</v>
      </c>
      <c r="C45" s="60">
        <v>0</v>
      </c>
      <c r="D45" s="60">
        <v>0</v>
      </c>
      <c r="E45" s="60">
        <v>0</v>
      </c>
      <c r="F45" s="60">
        <v>0</v>
      </c>
      <c r="G45" s="60" t="s">
        <v>261</v>
      </c>
      <c r="H45" s="60">
        <v>0</v>
      </c>
      <c r="I45" s="60">
        <v>0</v>
      </c>
      <c r="J45" s="60">
        <v>0</v>
      </c>
      <c r="K45" s="60">
        <v>110000</v>
      </c>
      <c r="L45" s="66">
        <v>0</v>
      </c>
    </row>
    <row r="46" spans="1:13">
      <c r="A46" s="59" t="s">
        <v>589</v>
      </c>
      <c r="B46" s="59" t="s">
        <v>590</v>
      </c>
      <c r="C46" s="60">
        <v>0</v>
      </c>
      <c r="D46" s="60">
        <v>0</v>
      </c>
      <c r="E46" s="60">
        <v>0</v>
      </c>
      <c r="F46" s="60">
        <v>0</v>
      </c>
      <c r="G46" s="60" t="s">
        <v>261</v>
      </c>
      <c r="H46" s="60">
        <v>0</v>
      </c>
      <c r="I46" s="60">
        <v>0</v>
      </c>
      <c r="J46" s="60">
        <v>0</v>
      </c>
      <c r="K46" s="60">
        <v>0</v>
      </c>
      <c r="L46" s="66">
        <v>0</v>
      </c>
    </row>
    <row r="47" spans="1:13">
      <c r="A47" s="58" t="s">
        <v>591</v>
      </c>
      <c r="B47" s="58" t="s">
        <v>592</v>
      </c>
      <c r="C47" s="8">
        <v>-1303700</v>
      </c>
      <c r="D47" s="8">
        <v>-1440300</v>
      </c>
      <c r="E47" s="8">
        <v>-1519400</v>
      </c>
      <c r="F47" s="8">
        <v>-1976400</v>
      </c>
      <c r="G47" s="8">
        <v>-1806600</v>
      </c>
      <c r="H47" s="8">
        <v>-1483600</v>
      </c>
      <c r="I47" s="8">
        <v>-1470000</v>
      </c>
      <c r="J47" s="8">
        <v>-1841300</v>
      </c>
      <c r="K47" s="8">
        <v>-2333600</v>
      </c>
      <c r="L47" s="65">
        <v>-2333600</v>
      </c>
    </row>
    <row r="48" spans="1:13">
      <c r="A48" s="59" t="s">
        <v>234</v>
      </c>
      <c r="B48" s="59" t="s">
        <v>592</v>
      </c>
      <c r="C48" s="60">
        <v>-12.3008011025928</v>
      </c>
      <c r="D48" s="60">
        <v>-10.477870675768999</v>
      </c>
      <c r="E48" s="60">
        <v>-5.4919114073457003</v>
      </c>
      <c r="F48" s="60">
        <v>-30.077662235092799</v>
      </c>
      <c r="G48" s="60">
        <v>8.5913782635094194</v>
      </c>
      <c r="H48" s="60">
        <v>17.878888519871602</v>
      </c>
      <c r="I48" s="60">
        <v>0.91668913453760503</v>
      </c>
      <c r="J48" s="60">
        <v>-25.2585034013605</v>
      </c>
      <c r="K48" s="60">
        <v>-26.736544832455301</v>
      </c>
      <c r="L48" s="66">
        <v>-26.736544832455301</v>
      </c>
    </row>
    <row r="49" spans="1:12">
      <c r="A49" s="59" t="s">
        <v>593</v>
      </c>
      <c r="B49" s="59" t="s">
        <v>594</v>
      </c>
      <c r="C49" s="60">
        <v>-1303700</v>
      </c>
      <c r="D49" s="60">
        <v>-1440300</v>
      </c>
      <c r="E49" s="60">
        <v>-1519400</v>
      </c>
      <c r="F49" s="60">
        <v>-1976400</v>
      </c>
      <c r="G49" s="60">
        <v>-1806600</v>
      </c>
      <c r="H49" s="60">
        <v>-1483600</v>
      </c>
      <c r="I49" s="60">
        <v>-1470000</v>
      </c>
      <c r="J49" s="60">
        <v>-1841300</v>
      </c>
      <c r="K49" s="60">
        <v>-2333600</v>
      </c>
      <c r="L49" s="66">
        <v>-2333600</v>
      </c>
    </row>
    <row r="50" spans="1:12">
      <c r="A50" s="59" t="s">
        <v>234</v>
      </c>
      <c r="B50" s="59" t="s">
        <v>594</v>
      </c>
      <c r="C50" s="60">
        <v>12.3008011025928</v>
      </c>
      <c r="D50" s="60">
        <v>10.477870675768999</v>
      </c>
      <c r="E50" s="60">
        <v>5.4919114073457003</v>
      </c>
      <c r="F50" s="60">
        <v>30.077662235092799</v>
      </c>
      <c r="G50" s="60">
        <v>-8.5913782635094194</v>
      </c>
      <c r="H50" s="60">
        <v>-17.878888519871602</v>
      </c>
      <c r="I50" s="60">
        <v>-0.91668913453760503</v>
      </c>
      <c r="J50" s="60">
        <v>25.2585034013605</v>
      </c>
      <c r="K50" s="60">
        <v>26.736544832455301</v>
      </c>
      <c r="L50" s="66">
        <v>26.736544832455301</v>
      </c>
    </row>
    <row r="51" spans="1:12">
      <c r="A51" s="59" t="s">
        <v>595</v>
      </c>
      <c r="B51" s="59" t="s">
        <v>596</v>
      </c>
      <c r="C51" s="60">
        <v>0</v>
      </c>
      <c r="D51" s="60">
        <v>0</v>
      </c>
      <c r="E51" s="60">
        <v>0</v>
      </c>
      <c r="F51" s="60">
        <v>0</v>
      </c>
      <c r="G51" s="60">
        <v>0</v>
      </c>
      <c r="H51" s="60">
        <v>0</v>
      </c>
      <c r="I51" s="60">
        <v>0</v>
      </c>
      <c r="J51" s="60">
        <v>0</v>
      </c>
      <c r="K51" s="60">
        <v>0</v>
      </c>
      <c r="L51" s="66">
        <v>0</v>
      </c>
    </row>
    <row r="52" spans="1:12">
      <c r="A52" s="58" t="s">
        <v>597</v>
      </c>
      <c r="B52" s="58" t="s">
        <v>598</v>
      </c>
      <c r="C52" s="8">
        <v>0</v>
      </c>
      <c r="D52" s="8">
        <v>0</v>
      </c>
      <c r="E52" s="8">
        <v>0</v>
      </c>
      <c r="F52" s="8">
        <v>0</v>
      </c>
      <c r="G52" s="8">
        <v>0</v>
      </c>
      <c r="H52" s="8">
        <v>0</v>
      </c>
      <c r="I52" s="8">
        <v>0</v>
      </c>
      <c r="J52" s="8">
        <v>0</v>
      </c>
      <c r="K52" s="8">
        <v>0</v>
      </c>
      <c r="L52" s="65">
        <v>0</v>
      </c>
    </row>
    <row r="53" spans="1:12">
      <c r="A53" s="58" t="s">
        <v>599</v>
      </c>
      <c r="B53" s="58" t="s">
        <v>600</v>
      </c>
      <c r="C53" s="8">
        <v>0</v>
      </c>
      <c r="D53" s="8">
        <v>0</v>
      </c>
      <c r="E53" s="8">
        <v>0</v>
      </c>
      <c r="F53" s="8">
        <v>0</v>
      </c>
      <c r="G53" s="8">
        <v>0</v>
      </c>
      <c r="H53" s="8">
        <v>0</v>
      </c>
      <c r="I53" s="8">
        <v>0</v>
      </c>
      <c r="J53" s="8">
        <v>0</v>
      </c>
      <c r="K53" s="8">
        <v>0</v>
      </c>
      <c r="L53" s="65">
        <v>0</v>
      </c>
    </row>
    <row r="54" spans="1:12">
      <c r="A54" s="58" t="s">
        <v>601</v>
      </c>
      <c r="B54" s="58" t="s">
        <v>602</v>
      </c>
      <c r="C54" s="8">
        <v>0</v>
      </c>
      <c r="D54" s="8">
        <v>0</v>
      </c>
      <c r="E54" s="8">
        <v>0</v>
      </c>
      <c r="F54" s="8">
        <v>0</v>
      </c>
      <c r="G54" s="8">
        <v>0</v>
      </c>
      <c r="H54" s="8">
        <v>0</v>
      </c>
      <c r="I54" s="8">
        <v>0</v>
      </c>
      <c r="J54" s="8">
        <v>0</v>
      </c>
      <c r="K54" s="8">
        <v>0</v>
      </c>
      <c r="L54" s="65">
        <v>0</v>
      </c>
    </row>
    <row r="55" spans="1:12">
      <c r="A55" s="58" t="s">
        <v>603</v>
      </c>
      <c r="B55" s="58" t="s">
        <v>604</v>
      </c>
      <c r="C55" s="8">
        <v>-284300</v>
      </c>
      <c r="D55" s="8">
        <v>69600</v>
      </c>
      <c r="E55" s="8">
        <v>85400</v>
      </c>
      <c r="F55" s="8">
        <v>-703100</v>
      </c>
      <c r="G55" s="8">
        <v>684300</v>
      </c>
      <c r="H55" s="8">
        <v>0</v>
      </c>
      <c r="I55" s="8">
        <v>1175000</v>
      </c>
      <c r="J55" s="8">
        <v>59300</v>
      </c>
      <c r="K55" s="8">
        <v>0</v>
      </c>
      <c r="L55" s="65">
        <v>0</v>
      </c>
    </row>
    <row r="56" spans="1:12">
      <c r="A56" s="59" t="s">
        <v>234</v>
      </c>
      <c r="B56" s="59" t="s">
        <v>604</v>
      </c>
      <c r="C56" s="60" t="s">
        <v>261</v>
      </c>
      <c r="D56" s="60" t="s">
        <v>261</v>
      </c>
      <c r="E56" s="60">
        <v>22.701149425287401</v>
      </c>
      <c r="F56" s="60" t="s">
        <v>261</v>
      </c>
      <c r="G56" s="60" t="s">
        <v>261</v>
      </c>
      <c r="H56" s="60" t="s">
        <v>261</v>
      </c>
      <c r="I56" s="60" t="s">
        <v>261</v>
      </c>
      <c r="J56" s="60">
        <v>-94.9531914893617</v>
      </c>
      <c r="K56" s="60" t="s">
        <v>261</v>
      </c>
      <c r="L56" s="66"/>
    </row>
    <row r="57" spans="1:12">
      <c r="A57" s="58" t="s">
        <v>605</v>
      </c>
      <c r="B57" s="58" t="s">
        <v>606</v>
      </c>
      <c r="C57" s="8">
        <v>0</v>
      </c>
      <c r="D57" s="8">
        <v>0</v>
      </c>
      <c r="E57" s="8">
        <v>0</v>
      </c>
      <c r="F57" s="8" t="s">
        <v>607</v>
      </c>
      <c r="G57" s="8">
        <v>0</v>
      </c>
      <c r="H57" s="8">
        <v>0</v>
      </c>
      <c r="I57" s="8">
        <v>1175000</v>
      </c>
      <c r="J57" s="8">
        <v>59300</v>
      </c>
      <c r="K57" s="8">
        <v>0</v>
      </c>
      <c r="L57" s="65">
        <v>0</v>
      </c>
    </row>
    <row r="58" spans="1:12">
      <c r="A58" s="59" t="s">
        <v>234</v>
      </c>
      <c r="B58" s="59" t="s">
        <v>606</v>
      </c>
      <c r="C58" s="60" t="s">
        <v>261</v>
      </c>
      <c r="D58" s="60" t="s">
        <v>261</v>
      </c>
      <c r="E58" s="60" t="s">
        <v>261</v>
      </c>
      <c r="F58" s="60" t="s">
        <v>261</v>
      </c>
      <c r="G58" s="60" t="s">
        <v>261</v>
      </c>
      <c r="H58" s="60" t="s">
        <v>261</v>
      </c>
      <c r="I58" s="60" t="s">
        <v>261</v>
      </c>
      <c r="J58" s="60">
        <v>-94.9531914893617</v>
      </c>
      <c r="K58" s="60" t="s">
        <v>261</v>
      </c>
      <c r="L58" s="66"/>
    </row>
    <row r="59" spans="1:12">
      <c r="A59" s="58" t="s">
        <v>608</v>
      </c>
      <c r="B59" s="58" t="s">
        <v>609</v>
      </c>
      <c r="C59" s="8">
        <v>-284300</v>
      </c>
      <c r="D59" s="8">
        <v>0</v>
      </c>
      <c r="E59" s="8">
        <v>0</v>
      </c>
      <c r="F59" s="8">
        <v>0</v>
      </c>
      <c r="G59" s="8">
        <v>0</v>
      </c>
      <c r="H59" s="8">
        <v>0</v>
      </c>
      <c r="I59" s="8">
        <v>0</v>
      </c>
      <c r="J59" s="8">
        <v>0</v>
      </c>
      <c r="K59" s="8">
        <v>0</v>
      </c>
      <c r="L59" s="65">
        <v>0</v>
      </c>
    </row>
    <row r="60" spans="1:12">
      <c r="A60" s="59" t="s">
        <v>234</v>
      </c>
      <c r="B60" s="59" t="s">
        <v>609</v>
      </c>
      <c r="C60" s="60" t="s">
        <v>261</v>
      </c>
      <c r="D60" s="60" t="s">
        <v>261</v>
      </c>
      <c r="E60" s="60" t="s">
        <v>261</v>
      </c>
      <c r="F60" s="60" t="s">
        <v>261</v>
      </c>
      <c r="G60" s="60" t="s">
        <v>261</v>
      </c>
      <c r="H60" s="60" t="s">
        <v>261</v>
      </c>
      <c r="I60" s="60" t="s">
        <v>261</v>
      </c>
      <c r="J60" s="60" t="s">
        <v>261</v>
      </c>
      <c r="K60" s="60" t="s">
        <v>261</v>
      </c>
      <c r="L60" s="66"/>
    </row>
    <row r="61" spans="1:12">
      <c r="A61" s="58" t="s">
        <v>610</v>
      </c>
      <c r="B61" s="58" t="s">
        <v>611</v>
      </c>
      <c r="C61" s="8">
        <v>0</v>
      </c>
      <c r="D61" s="8">
        <v>69600</v>
      </c>
      <c r="E61" s="8">
        <v>85400</v>
      </c>
      <c r="F61" s="8">
        <v>-703100</v>
      </c>
      <c r="G61" s="8">
        <v>684300</v>
      </c>
      <c r="H61" s="8">
        <v>0</v>
      </c>
      <c r="I61" s="8">
        <v>0</v>
      </c>
      <c r="J61" s="8">
        <v>0</v>
      </c>
      <c r="K61" s="8">
        <v>0</v>
      </c>
      <c r="L61" s="65">
        <v>0</v>
      </c>
    </row>
    <row r="62" spans="1:12">
      <c r="A62" s="59" t="s">
        <v>234</v>
      </c>
      <c r="B62" s="59" t="s">
        <v>611</v>
      </c>
      <c r="C62" s="60" t="s">
        <v>261</v>
      </c>
      <c r="D62" s="60" t="s">
        <v>261</v>
      </c>
      <c r="E62" s="60">
        <v>22.701149425287401</v>
      </c>
      <c r="F62" s="60" t="s">
        <v>261</v>
      </c>
      <c r="G62" s="60" t="s">
        <v>261</v>
      </c>
      <c r="H62" s="60" t="s">
        <v>261</v>
      </c>
      <c r="I62" s="60" t="s">
        <v>261</v>
      </c>
      <c r="J62" s="60" t="s">
        <v>261</v>
      </c>
      <c r="K62" s="60" t="s">
        <v>261</v>
      </c>
      <c r="L62" s="66"/>
    </row>
    <row r="63" spans="1:12">
      <c r="A63" s="58" t="s">
        <v>612</v>
      </c>
      <c r="B63" s="58" t="s">
        <v>613</v>
      </c>
      <c r="C63" s="8">
        <v>67700</v>
      </c>
      <c r="D63" s="8">
        <v>-852200</v>
      </c>
      <c r="E63" s="8">
        <v>584000</v>
      </c>
      <c r="F63" s="8">
        <v>318000</v>
      </c>
      <c r="G63" s="8">
        <v>111500</v>
      </c>
      <c r="H63" s="8">
        <v>-227900</v>
      </c>
      <c r="I63" s="8">
        <v>-24500</v>
      </c>
      <c r="J63" s="8">
        <v>-364300</v>
      </c>
      <c r="K63" s="8">
        <v>-47200</v>
      </c>
      <c r="L63" s="65">
        <v>-47200</v>
      </c>
    </row>
    <row r="64" spans="1:12">
      <c r="A64" s="59" t="s">
        <v>234</v>
      </c>
      <c r="B64" s="59" t="s">
        <v>613</v>
      </c>
      <c r="C64" s="60">
        <v>-80.273892773892797</v>
      </c>
      <c r="D64" s="60" t="s">
        <v>261</v>
      </c>
      <c r="E64" s="60" t="s">
        <v>261</v>
      </c>
      <c r="F64" s="60">
        <v>-45.5479452054795</v>
      </c>
      <c r="G64" s="60">
        <v>-64.937106918238996</v>
      </c>
      <c r="H64" s="60" t="s">
        <v>261</v>
      </c>
      <c r="I64" s="60">
        <v>89.249670908293098</v>
      </c>
      <c r="J64" s="60">
        <v>-1386.9387755102</v>
      </c>
      <c r="K64" s="60">
        <v>87.043645347241295</v>
      </c>
      <c r="L64" s="66">
        <v>87.043645347241295</v>
      </c>
    </row>
    <row r="65" spans="1:12">
      <c r="A65" s="58" t="s">
        <v>579</v>
      </c>
      <c r="B65" s="58" t="s">
        <v>614</v>
      </c>
      <c r="C65" s="8">
        <v>0</v>
      </c>
      <c r="D65" s="8">
        <v>0</v>
      </c>
      <c r="E65" s="8">
        <v>0</v>
      </c>
      <c r="F65" s="8">
        <v>0</v>
      </c>
      <c r="G65" s="8">
        <v>0</v>
      </c>
      <c r="H65" s="8">
        <v>0</v>
      </c>
      <c r="I65" s="8">
        <v>0</v>
      </c>
      <c r="J65" s="8">
        <v>0</v>
      </c>
      <c r="K65" s="8">
        <v>0</v>
      </c>
      <c r="L65" s="65">
        <v>0</v>
      </c>
    </row>
    <row r="66" spans="1:12">
      <c r="A66" s="56" t="s">
        <v>582</v>
      </c>
      <c r="B66" s="56" t="s">
        <v>615</v>
      </c>
      <c r="C66" s="61">
        <v>-1520300</v>
      </c>
      <c r="D66" s="61">
        <v>-2222900</v>
      </c>
      <c r="E66" s="61">
        <v>-850000</v>
      </c>
      <c r="F66" s="61">
        <v>-2361500</v>
      </c>
      <c r="G66" s="61">
        <v>-1010800</v>
      </c>
      <c r="H66" s="61">
        <v>-1711500</v>
      </c>
      <c r="I66" s="61">
        <v>-319500</v>
      </c>
      <c r="J66" s="61">
        <v>-2146300</v>
      </c>
      <c r="K66" s="61">
        <v>-2270800</v>
      </c>
      <c r="L66" s="67">
        <v>-2270800.0122070299</v>
      </c>
    </row>
    <row r="67" spans="1:12">
      <c r="A67" s="59" t="s">
        <v>234</v>
      </c>
      <c r="B67" s="59" t="s">
        <v>615</v>
      </c>
      <c r="C67" s="60">
        <v>-85.923932982756497</v>
      </c>
      <c r="D67" s="60">
        <v>-46.214562915214103</v>
      </c>
      <c r="E67" s="60">
        <v>61.761662692878701</v>
      </c>
      <c r="F67" s="60">
        <v>-177.82352941176501</v>
      </c>
      <c r="G67" s="60">
        <v>57.196697014609398</v>
      </c>
      <c r="H67" s="60">
        <v>-69.3213296398892</v>
      </c>
      <c r="I67" s="60">
        <v>81.332164767747599</v>
      </c>
      <c r="J67" s="60">
        <v>-571.76838810641596</v>
      </c>
      <c r="K67" s="60">
        <v>-5.8006802404137296</v>
      </c>
      <c r="L67" s="66">
        <v>-5.8006814109003102</v>
      </c>
    </row>
    <row r="68" spans="1:12">
      <c r="A68" s="56"/>
      <c r="B68" s="57"/>
      <c r="C68" s="57"/>
      <c r="D68" s="57"/>
      <c r="E68" s="57"/>
      <c r="F68" s="57"/>
      <c r="G68" s="57"/>
      <c r="H68" s="57"/>
      <c r="I68" s="57"/>
      <c r="J68" s="57"/>
      <c r="K68" s="57"/>
      <c r="L68" s="64"/>
    </row>
    <row r="69" spans="1:12">
      <c r="A69" s="56" t="s">
        <v>616</v>
      </c>
      <c r="B69" s="57"/>
      <c r="C69" s="57"/>
      <c r="D69" s="57"/>
      <c r="E69" s="57"/>
      <c r="F69" s="57"/>
      <c r="G69" s="57"/>
      <c r="H69" s="57"/>
      <c r="I69" s="57"/>
      <c r="J69" s="57"/>
      <c r="K69" s="57"/>
      <c r="L69" s="64"/>
    </row>
    <row r="70" spans="1:12">
      <c r="A70" s="58" t="s">
        <v>617</v>
      </c>
      <c r="B70" s="58" t="s">
        <v>618</v>
      </c>
      <c r="C70" s="8">
        <v>-928600</v>
      </c>
      <c r="D70" s="8">
        <v>-1178000</v>
      </c>
      <c r="E70" s="8">
        <v>-1450400</v>
      </c>
      <c r="F70" s="8">
        <v>-1743400</v>
      </c>
      <c r="G70" s="8">
        <v>-1761300</v>
      </c>
      <c r="H70" s="8">
        <v>-1923500</v>
      </c>
      <c r="I70" s="8">
        <v>-2119000</v>
      </c>
      <c r="J70" s="8">
        <v>-2263300</v>
      </c>
      <c r="K70" s="8">
        <v>-2431800</v>
      </c>
      <c r="L70" s="65">
        <v>-2431799.9877929701</v>
      </c>
    </row>
    <row r="71" spans="1:12">
      <c r="A71" s="59" t="s">
        <v>234</v>
      </c>
      <c r="B71" s="59" t="s">
        <v>618</v>
      </c>
      <c r="C71" s="60">
        <v>18.580002553952198</v>
      </c>
      <c r="D71" s="60">
        <v>26.857635149687699</v>
      </c>
      <c r="E71" s="60">
        <v>23.123938879456698</v>
      </c>
      <c r="F71" s="60">
        <v>20.2013237727523</v>
      </c>
      <c r="G71" s="60">
        <v>1.0267293793736301</v>
      </c>
      <c r="H71" s="60">
        <v>9.2091069096689999</v>
      </c>
      <c r="I71" s="60">
        <v>10.163763971926199</v>
      </c>
      <c r="J71" s="60">
        <v>6.8098159509202496</v>
      </c>
      <c r="K71" s="60">
        <v>7.4448813679141104</v>
      </c>
      <c r="L71" s="66">
        <v>-7.4448790900666797</v>
      </c>
    </row>
    <row r="72" spans="1:12">
      <c r="A72" s="58" t="s">
        <v>619</v>
      </c>
      <c r="B72" s="58" t="s">
        <v>620</v>
      </c>
      <c r="C72" s="8">
        <v>238400</v>
      </c>
      <c r="D72" s="8">
        <v>1254500</v>
      </c>
      <c r="E72" s="8">
        <v>350200</v>
      </c>
      <c r="F72" s="8">
        <v>5584100</v>
      </c>
      <c r="G72" s="8">
        <v>1646000</v>
      </c>
      <c r="H72" s="8">
        <v>5166500</v>
      </c>
      <c r="I72" s="8">
        <v>-1681200</v>
      </c>
      <c r="J72" s="8">
        <v>673100</v>
      </c>
      <c r="K72" s="8">
        <v>358600</v>
      </c>
      <c r="L72" s="65">
        <v>358600</v>
      </c>
    </row>
    <row r="73" spans="1:12">
      <c r="A73" s="59" t="s">
        <v>234</v>
      </c>
      <c r="B73" s="59" t="s">
        <v>620</v>
      </c>
      <c r="C73" s="60">
        <v>-68.149632598530403</v>
      </c>
      <c r="D73" s="60">
        <v>426.21644295302002</v>
      </c>
      <c r="E73" s="60">
        <v>-72.084495815065793</v>
      </c>
      <c r="F73" s="60">
        <v>1494.5459737292999</v>
      </c>
      <c r="G73" s="60">
        <v>-70.523450511273097</v>
      </c>
      <c r="H73" s="60">
        <v>213.88213851761799</v>
      </c>
      <c r="I73" s="60" t="s">
        <v>261</v>
      </c>
      <c r="J73" s="60" t="s">
        <v>261</v>
      </c>
      <c r="K73" s="60">
        <v>-46.724112316149203</v>
      </c>
      <c r="L73" s="66">
        <v>-83.483787767133407</v>
      </c>
    </row>
    <row r="74" spans="1:12">
      <c r="A74" s="58" t="s">
        <v>621</v>
      </c>
      <c r="B74" s="58" t="s">
        <v>622</v>
      </c>
      <c r="C74" s="8">
        <v>0</v>
      </c>
      <c r="D74" s="8">
        <v>0</v>
      </c>
      <c r="E74" s="8">
        <v>0</v>
      </c>
      <c r="F74" s="8">
        <v>0</v>
      </c>
      <c r="G74" s="8">
        <v>0</v>
      </c>
      <c r="H74" s="8">
        <v>438900</v>
      </c>
      <c r="I74" s="8">
        <v>-431200</v>
      </c>
      <c r="J74" s="8">
        <v>175000</v>
      </c>
      <c r="K74" s="8">
        <v>-139200</v>
      </c>
      <c r="L74" s="65">
        <v>-139200</v>
      </c>
    </row>
    <row r="75" spans="1:12">
      <c r="A75" s="58" t="s">
        <v>623</v>
      </c>
      <c r="B75" s="58" t="s">
        <v>624</v>
      </c>
      <c r="C75" s="8">
        <v>848500</v>
      </c>
      <c r="D75" s="8">
        <v>1254500</v>
      </c>
      <c r="E75" s="8">
        <v>750200</v>
      </c>
      <c r="F75" s="8">
        <v>5584100</v>
      </c>
      <c r="G75" s="8">
        <v>1996000</v>
      </c>
      <c r="H75" s="8">
        <v>4727600</v>
      </c>
      <c r="I75" s="8">
        <v>0</v>
      </c>
      <c r="J75" s="8">
        <v>1498100</v>
      </c>
      <c r="K75" s="8">
        <v>1497800</v>
      </c>
      <c r="L75" s="65">
        <v>1497800</v>
      </c>
    </row>
    <row r="76" spans="1:12">
      <c r="A76" s="59" t="s">
        <v>234</v>
      </c>
      <c r="B76" s="59" t="s">
        <v>624</v>
      </c>
      <c r="C76" s="60">
        <v>13.3600534402138</v>
      </c>
      <c r="D76" s="60">
        <v>47.849145550972302</v>
      </c>
      <c r="E76" s="60">
        <v>-40.199282582702303</v>
      </c>
      <c r="F76" s="60">
        <v>644.34817382031497</v>
      </c>
      <c r="G76" s="60">
        <v>-64.255654447449004</v>
      </c>
      <c r="H76" s="60">
        <v>136.85370741483001</v>
      </c>
      <c r="I76" s="60" t="s">
        <v>261</v>
      </c>
      <c r="J76" s="60" t="s">
        <v>261</v>
      </c>
      <c r="K76" s="60">
        <v>-2.0025365462916701E-2</v>
      </c>
      <c r="L76" s="66">
        <v>-50.0100126827314</v>
      </c>
    </row>
    <row r="77" spans="1:12">
      <c r="A77" s="58" t="s">
        <v>625</v>
      </c>
      <c r="B77" s="58" t="s">
        <v>626</v>
      </c>
      <c r="C77" s="8">
        <v>-610100</v>
      </c>
      <c r="D77" s="8">
        <v>0</v>
      </c>
      <c r="E77" s="8">
        <v>-400000</v>
      </c>
      <c r="F77" s="8">
        <v>0</v>
      </c>
      <c r="G77" s="8">
        <v>-350000</v>
      </c>
      <c r="H77" s="8">
        <v>0</v>
      </c>
      <c r="I77" s="8">
        <v>-1250000</v>
      </c>
      <c r="J77" s="8">
        <v>-1000000</v>
      </c>
      <c r="K77" s="8">
        <v>-1000000</v>
      </c>
      <c r="L77" s="65">
        <v>-1000000</v>
      </c>
    </row>
    <row r="78" spans="1:12">
      <c r="A78" s="59" t="s">
        <v>234</v>
      </c>
      <c r="B78" s="59" t="s">
        <v>626</v>
      </c>
      <c r="C78" s="60" t="s">
        <v>261</v>
      </c>
      <c r="D78" s="60" t="s">
        <v>261</v>
      </c>
      <c r="E78" s="60" t="s">
        <v>261</v>
      </c>
      <c r="F78" s="60" t="s">
        <v>261</v>
      </c>
      <c r="G78" s="60" t="s">
        <v>261</v>
      </c>
      <c r="H78" s="60" t="s">
        <v>261</v>
      </c>
      <c r="I78" s="60" t="s">
        <v>261</v>
      </c>
      <c r="J78" s="60">
        <v>-20</v>
      </c>
      <c r="K78" s="60">
        <v>0</v>
      </c>
      <c r="L78" s="66"/>
    </row>
    <row r="79" spans="1:12">
      <c r="A79" s="58" t="s">
        <v>627</v>
      </c>
      <c r="B79" s="58" t="s">
        <v>628</v>
      </c>
      <c r="C79" s="8">
        <v>-1187400</v>
      </c>
      <c r="D79" s="8">
        <v>-1940900</v>
      </c>
      <c r="E79" s="8">
        <v>-1974500</v>
      </c>
      <c r="F79" s="8">
        <v>-7042300</v>
      </c>
      <c r="G79" s="8">
        <v>-9924100</v>
      </c>
      <c r="H79" s="8">
        <v>-1492000</v>
      </c>
      <c r="I79" s="8">
        <v>149200</v>
      </c>
      <c r="J79" s="8">
        <v>-4038600</v>
      </c>
      <c r="K79" s="8">
        <v>-906300</v>
      </c>
      <c r="L79" s="65">
        <v>-906300</v>
      </c>
    </row>
    <row r="80" spans="1:12">
      <c r="A80" s="59" t="s">
        <v>234</v>
      </c>
      <c r="B80" s="59" t="s">
        <v>628</v>
      </c>
      <c r="C80" s="60">
        <v>-104.090752836026</v>
      </c>
      <c r="D80" s="60">
        <v>-63.457975408455397</v>
      </c>
      <c r="E80" s="60">
        <v>-1.7311556494409801</v>
      </c>
      <c r="F80" s="60">
        <v>-256.66244618890897</v>
      </c>
      <c r="G80" s="60">
        <v>-40.921289919486497</v>
      </c>
      <c r="H80" s="60">
        <v>84.965891113551905</v>
      </c>
      <c r="I80" s="60" t="s">
        <v>261</v>
      </c>
      <c r="J80" s="60" t="s">
        <v>261</v>
      </c>
      <c r="K80" s="60">
        <v>77.559055118110194</v>
      </c>
      <c r="L80" s="66">
        <v>77.559055118110194</v>
      </c>
    </row>
    <row r="81" spans="1:24">
      <c r="A81" s="58" t="s">
        <v>629</v>
      </c>
      <c r="B81" s="58" t="s">
        <v>630</v>
      </c>
      <c r="C81" s="8">
        <v>248700</v>
      </c>
      <c r="D81" s="8">
        <v>160700</v>
      </c>
      <c r="E81" s="8">
        <v>150800</v>
      </c>
      <c r="F81" s="8">
        <v>153900</v>
      </c>
      <c r="G81" s="8">
        <v>409800</v>
      </c>
      <c r="H81" s="8">
        <v>298800</v>
      </c>
      <c r="I81" s="8">
        <v>246200</v>
      </c>
      <c r="J81" s="8">
        <v>101600</v>
      </c>
      <c r="K81" s="8">
        <v>167400</v>
      </c>
      <c r="L81" s="65">
        <v>167400.003433228</v>
      </c>
    </row>
    <row r="82" spans="1:24">
      <c r="A82" s="59" t="s">
        <v>234</v>
      </c>
      <c r="B82" s="59" t="s">
        <v>630</v>
      </c>
      <c r="C82" s="60">
        <v>40.667420814479598</v>
      </c>
      <c r="D82" s="60">
        <v>-35.383996783272998</v>
      </c>
      <c r="E82" s="60">
        <v>-6.1605476042314704</v>
      </c>
      <c r="F82" s="60">
        <v>2.05570291777188</v>
      </c>
      <c r="G82" s="60">
        <v>166.27680311890799</v>
      </c>
      <c r="H82" s="60">
        <v>-27.086383601756999</v>
      </c>
      <c r="I82" s="60">
        <v>-17.603748326639899</v>
      </c>
      <c r="J82" s="60">
        <v>-58.7327376116978</v>
      </c>
      <c r="K82" s="60">
        <v>64.763779527559095</v>
      </c>
      <c r="L82" s="66">
        <v>64.763782906719996</v>
      </c>
    </row>
    <row r="83" spans="1:24">
      <c r="A83" s="58" t="s">
        <v>631</v>
      </c>
      <c r="B83" s="58" t="s">
        <v>632</v>
      </c>
      <c r="C83" s="8">
        <v>-1436100</v>
      </c>
      <c r="D83" s="8">
        <v>-2101600</v>
      </c>
      <c r="E83" s="8">
        <v>-2125300</v>
      </c>
      <c r="F83" s="8">
        <v>-7196200</v>
      </c>
      <c r="G83" s="8">
        <v>-10333900</v>
      </c>
      <c r="H83" s="8">
        <v>-1790800</v>
      </c>
      <c r="I83" s="8">
        <v>-97000</v>
      </c>
      <c r="J83" s="8">
        <v>-4140200</v>
      </c>
      <c r="K83" s="8">
        <v>-1073700</v>
      </c>
      <c r="L83" s="65">
        <v>-1073699.9877929699</v>
      </c>
    </row>
    <row r="84" spans="1:24">
      <c r="A84" s="59" t="s">
        <v>234</v>
      </c>
      <c r="B84" s="59" t="s">
        <v>632</v>
      </c>
      <c r="C84" s="60">
        <v>89.309253888742404</v>
      </c>
      <c r="D84" s="60">
        <v>46.340784067961799</v>
      </c>
      <c r="E84" s="60">
        <v>1.1277122192615301</v>
      </c>
      <c r="F84" s="60">
        <v>238.59690396649901</v>
      </c>
      <c r="G84" s="60">
        <v>43.602178927767397</v>
      </c>
      <c r="H84" s="60">
        <v>-82.670627739769103</v>
      </c>
      <c r="I84" s="60">
        <v>-94.583426401608193</v>
      </c>
      <c r="J84" s="60">
        <v>4168.2474226804097</v>
      </c>
      <c r="K84" s="60">
        <v>-74.066470218830005</v>
      </c>
      <c r="L84" s="66">
        <v>-74.066470549513497</v>
      </c>
    </row>
    <row r="85" spans="1:24">
      <c r="A85" s="58" t="s">
        <v>633</v>
      </c>
      <c r="B85" s="58" t="s">
        <v>634</v>
      </c>
      <c r="C85" s="8">
        <v>-378900</v>
      </c>
      <c r="D85" s="8">
        <v>-8400</v>
      </c>
      <c r="E85" s="8">
        <v>-4400</v>
      </c>
      <c r="F85" s="8">
        <v>-41200</v>
      </c>
      <c r="G85" s="8">
        <v>-17500</v>
      </c>
      <c r="H85" s="8">
        <v>-37700</v>
      </c>
      <c r="I85" s="8">
        <v>0</v>
      </c>
      <c r="J85" s="8">
        <v>-9200</v>
      </c>
      <c r="K85" s="8">
        <v>-11100</v>
      </c>
      <c r="L85" s="65">
        <v>-11100</v>
      </c>
    </row>
    <row r="86" spans="1:24">
      <c r="A86" s="59" t="s">
        <v>234</v>
      </c>
      <c r="B86" s="59" t="s">
        <v>634</v>
      </c>
      <c r="C86" s="60">
        <v>-5391.3043478260897</v>
      </c>
      <c r="D86" s="60">
        <v>97.783056215360304</v>
      </c>
      <c r="E86" s="60">
        <v>47.619047619047599</v>
      </c>
      <c r="F86" s="60">
        <v>-836.36363636363603</v>
      </c>
      <c r="G86" s="60">
        <v>57.524271844660198</v>
      </c>
      <c r="H86" s="60">
        <v>-115.428571428571</v>
      </c>
      <c r="I86" s="60" t="s">
        <v>261</v>
      </c>
      <c r="J86" s="60" t="s">
        <v>261</v>
      </c>
      <c r="K86" s="60">
        <v>-20.652173913043502</v>
      </c>
      <c r="L86" s="66">
        <v>99.263583891726896</v>
      </c>
    </row>
    <row r="87" spans="1:24">
      <c r="A87" s="58" t="s">
        <v>579</v>
      </c>
      <c r="B87" s="58" t="s">
        <v>635</v>
      </c>
      <c r="C87" s="8">
        <v>0</v>
      </c>
      <c r="D87" s="8">
        <v>0</v>
      </c>
      <c r="E87" s="8">
        <v>0</v>
      </c>
      <c r="F87" s="8">
        <v>0</v>
      </c>
      <c r="G87" s="8">
        <v>0</v>
      </c>
      <c r="H87" s="8">
        <v>0</v>
      </c>
      <c r="I87" s="8">
        <v>0</v>
      </c>
      <c r="J87" s="8">
        <v>0</v>
      </c>
      <c r="K87" s="8">
        <v>0</v>
      </c>
      <c r="L87" s="65">
        <v>0</v>
      </c>
      <c r="N87" s="53" t="s">
        <v>217</v>
      </c>
      <c r="O87" s="53" t="s">
        <v>218</v>
      </c>
      <c r="P87" s="53" t="s">
        <v>219</v>
      </c>
      <c r="Q87" s="53" t="s">
        <v>220</v>
      </c>
      <c r="R87" s="53" t="s">
        <v>50</v>
      </c>
      <c r="S87" s="53" t="s">
        <v>51</v>
      </c>
      <c r="T87" s="53" t="s">
        <v>52</v>
      </c>
      <c r="U87" s="53" t="s">
        <v>53</v>
      </c>
      <c r="V87" s="53" t="s">
        <v>54</v>
      </c>
    </row>
    <row r="88" spans="1:24">
      <c r="A88" s="56" t="s">
        <v>616</v>
      </c>
      <c r="B88" s="56" t="s">
        <v>636</v>
      </c>
      <c r="C88" s="61">
        <v>-2256500</v>
      </c>
      <c r="D88" s="61">
        <v>-1872800</v>
      </c>
      <c r="E88" s="61">
        <v>-3079100</v>
      </c>
      <c r="F88" s="61">
        <v>-3242800</v>
      </c>
      <c r="G88" s="61">
        <v>-10056900</v>
      </c>
      <c r="H88" s="61">
        <v>1713300</v>
      </c>
      <c r="I88" s="61">
        <v>-3651000</v>
      </c>
      <c r="J88" s="61">
        <v>-5638000</v>
      </c>
      <c r="K88" s="61">
        <v>-2990600</v>
      </c>
      <c r="L88" s="67">
        <v>-2990600</v>
      </c>
      <c r="M88" t="s">
        <v>637</v>
      </c>
      <c r="N88" s="86">
        <f>C70/C88</f>
        <v>0.41152226900066474</v>
      </c>
      <c r="O88" s="86">
        <f t="shared" ref="O88:S88" si="0">D70/D88</f>
        <v>0.62900469884664678</v>
      </c>
      <c r="P88" s="86">
        <f t="shared" si="0"/>
        <v>0.47104673443538697</v>
      </c>
      <c r="Q88" s="86">
        <f t="shared" si="0"/>
        <v>0.53762180831380291</v>
      </c>
      <c r="R88" s="86">
        <f t="shared" si="0"/>
        <v>0.17513349043939982</v>
      </c>
      <c r="S88" s="86">
        <f t="shared" si="0"/>
        <v>-1.1226872118134594</v>
      </c>
      <c r="T88" s="86">
        <f t="shared" ref="T88" si="1">I70/I88</f>
        <v>0.58038893453848261</v>
      </c>
      <c r="U88" s="86">
        <f t="shared" ref="U88" si="2">J70/J88</f>
        <v>0.40143667967364316</v>
      </c>
      <c r="V88" s="86">
        <f t="shared" ref="V88" si="3">K70/K88</f>
        <v>0.81314786330502242</v>
      </c>
      <c r="W88" s="89">
        <f>AVERAGE(N88:V88)</f>
        <v>0.32184614074884332</v>
      </c>
    </row>
    <row r="89" spans="1:24">
      <c r="A89" s="59" t="s">
        <v>234</v>
      </c>
      <c r="B89" s="59" t="s">
        <v>636</v>
      </c>
      <c r="C89" s="60">
        <v>-262.02470720359401</v>
      </c>
      <c r="D89" s="60">
        <v>17.004210059827201</v>
      </c>
      <c r="E89" s="60">
        <v>-64.411576249465995</v>
      </c>
      <c r="F89" s="60">
        <v>-5.3164885843266001</v>
      </c>
      <c r="G89" s="60">
        <v>-210.13013445170799</v>
      </c>
      <c r="H89" s="60" t="s">
        <v>261</v>
      </c>
      <c r="I89" s="60" t="s">
        <v>261</v>
      </c>
      <c r="J89" s="60">
        <v>-54.423445631333898</v>
      </c>
      <c r="K89" s="60">
        <v>46.956367506207897</v>
      </c>
      <c r="L89" s="66">
        <v>46.956367506207897</v>
      </c>
    </row>
    <row r="90" spans="1:24">
      <c r="A90" s="56"/>
      <c r="B90" s="57"/>
      <c r="C90" s="57"/>
      <c r="D90" s="57"/>
      <c r="E90" s="57"/>
      <c r="F90" s="57"/>
      <c r="G90" s="57"/>
      <c r="H90" s="57"/>
      <c r="I90" s="57"/>
      <c r="J90" s="57"/>
      <c r="K90" s="57"/>
      <c r="L90" s="64"/>
      <c r="M90" t="s">
        <v>638</v>
      </c>
      <c r="N90" s="86">
        <f>C79/C88</f>
        <v>0.52621316197651224</v>
      </c>
      <c r="O90" s="86">
        <f t="shared" ref="O90:V90" si="4">D79/D88</f>
        <v>1.0363626655275524</v>
      </c>
      <c r="P90" s="86">
        <f t="shared" si="4"/>
        <v>0.64125880939235491</v>
      </c>
      <c r="Q90" s="86">
        <f t="shared" si="4"/>
        <v>2.1716726285925745</v>
      </c>
      <c r="R90" s="86">
        <f t="shared" si="4"/>
        <v>0.98679513567799226</v>
      </c>
      <c r="S90" s="86">
        <f t="shared" si="4"/>
        <v>-0.87083406291951204</v>
      </c>
      <c r="T90" s="86">
        <f t="shared" si="4"/>
        <v>-4.0865516296904957E-2</v>
      </c>
      <c r="U90" s="86">
        <f t="shared" si="4"/>
        <v>0.71631784320681091</v>
      </c>
      <c r="V90" s="86">
        <f t="shared" si="4"/>
        <v>0.30304955527318933</v>
      </c>
      <c r="W90" s="89">
        <f>AVERAGE(N90:V90)</f>
        <v>0.60777446893672993</v>
      </c>
      <c r="X90" s="89">
        <f>AVERAGE(R90:V90)</f>
        <v>0.21889259098831512</v>
      </c>
    </row>
    <row r="91" spans="1:24">
      <c r="A91" s="58" t="s">
        <v>639</v>
      </c>
      <c r="B91" s="58" t="s">
        <v>640</v>
      </c>
      <c r="C91" s="8">
        <v>-150600</v>
      </c>
      <c r="D91" s="8">
        <v>-3500</v>
      </c>
      <c r="E91" s="8">
        <v>10800</v>
      </c>
      <c r="F91" s="8">
        <v>-39500</v>
      </c>
      <c r="G91" s="8">
        <v>-49000</v>
      </c>
      <c r="H91" s="8">
        <v>64700</v>
      </c>
      <c r="I91" s="8">
        <v>86200</v>
      </c>
      <c r="J91" s="8">
        <v>-250300</v>
      </c>
      <c r="K91" s="8">
        <v>-14200</v>
      </c>
      <c r="L91" s="65">
        <v>-14200</v>
      </c>
    </row>
    <row r="92" spans="1:24">
      <c r="A92" s="59" t="s">
        <v>234</v>
      </c>
      <c r="B92" s="59" t="s">
        <v>640</v>
      </c>
      <c r="C92" s="60">
        <v>-341.64222873900297</v>
      </c>
      <c r="D92" s="60">
        <v>97.675962815405001</v>
      </c>
      <c r="E92" s="60" t="s">
        <v>261</v>
      </c>
      <c r="F92" s="60" t="s">
        <v>261</v>
      </c>
      <c r="G92" s="60">
        <v>-24.050632911392398</v>
      </c>
      <c r="H92" s="60" t="s">
        <v>261</v>
      </c>
      <c r="I92" s="60">
        <v>33.230293663060301</v>
      </c>
      <c r="J92" s="60" t="s">
        <v>261</v>
      </c>
      <c r="K92" s="60">
        <v>94.3268078306033</v>
      </c>
      <c r="L92" s="66">
        <v>94.3268078306033</v>
      </c>
      <c r="N92" s="86">
        <f>C81/C88</f>
        <v>-0.11021493463328164</v>
      </c>
      <c r="O92" s="86">
        <f t="shared" ref="O92:V92" si="5">D81/D88</f>
        <v>-8.5807347287483987E-2</v>
      </c>
      <c r="P92" s="86">
        <f t="shared" si="5"/>
        <v>-4.8975349939917506E-2</v>
      </c>
      <c r="Q92" s="86">
        <f t="shared" si="5"/>
        <v>-4.7458986061428392E-2</v>
      </c>
      <c r="R92" s="86">
        <f t="shared" si="5"/>
        <v>-4.0748143065954714E-2</v>
      </c>
      <c r="S92" s="86">
        <f t="shared" si="5"/>
        <v>0.17440028016109263</v>
      </c>
      <c r="T92" s="86">
        <f t="shared" si="5"/>
        <v>-6.7433579841139416E-2</v>
      </c>
      <c r="U92" s="86">
        <f t="shared" si="5"/>
        <v>-1.8020574671869457E-2</v>
      </c>
      <c r="V92" s="86">
        <f t="shared" si="5"/>
        <v>-5.5975389553935662E-2</v>
      </c>
      <c r="W92" s="89">
        <f>AVERAGE(R92:V92)</f>
        <v>-1.5554813943613271E-3</v>
      </c>
    </row>
    <row r="93" spans="1:24">
      <c r="A93" s="56"/>
      <c r="B93" s="57"/>
      <c r="C93" s="57"/>
      <c r="D93" s="57"/>
      <c r="E93" s="57"/>
      <c r="F93" s="57"/>
      <c r="G93" s="57"/>
      <c r="H93" s="57"/>
      <c r="I93" s="57"/>
      <c r="J93" s="57"/>
      <c r="K93" s="57"/>
      <c r="L93" s="64"/>
    </row>
    <row r="94" spans="1:24">
      <c r="A94" s="56" t="s">
        <v>641</v>
      </c>
      <c r="B94" s="56" t="s">
        <v>642</v>
      </c>
      <c r="C94" s="61">
        <v>-178300</v>
      </c>
      <c r="D94" s="61">
        <v>598700</v>
      </c>
      <c r="E94" s="61">
        <v>333500</v>
      </c>
      <c r="F94" s="61">
        <v>6294000</v>
      </c>
      <c r="G94" s="61">
        <v>-6069700</v>
      </c>
      <c r="H94" s="61">
        <v>1664300</v>
      </c>
      <c r="I94" s="61">
        <v>2104800</v>
      </c>
      <c r="J94" s="61">
        <v>-3637300</v>
      </c>
      <c r="K94" s="61">
        <v>733100</v>
      </c>
      <c r="L94" s="67">
        <v>733100.02136230504</v>
      </c>
      <c r="M94" t="s">
        <v>643</v>
      </c>
      <c r="N94" s="86">
        <f>C83/C88</f>
        <v>0.63642809660979394</v>
      </c>
      <c r="O94" s="86">
        <f t="shared" ref="O94:V94" si="6">D83/D88</f>
        <v>1.1221700128150363</v>
      </c>
      <c r="P94" s="86">
        <f t="shared" si="6"/>
        <v>0.69023415933227239</v>
      </c>
      <c r="Q94" s="86">
        <f t="shared" si="6"/>
        <v>2.2191316146540028</v>
      </c>
      <c r="R94" s="86">
        <f t="shared" si="6"/>
        <v>1.0275432787439469</v>
      </c>
      <c r="S94" s="86">
        <f t="shared" si="6"/>
        <v>-1.0452343430806046</v>
      </c>
      <c r="T94" s="86">
        <f t="shared" si="6"/>
        <v>2.6568063544234456E-2</v>
      </c>
      <c r="U94" s="86">
        <f t="shared" si="6"/>
        <v>0.73433841787868037</v>
      </c>
      <c r="V94" s="86">
        <f t="shared" si="6"/>
        <v>0.35902494482712499</v>
      </c>
      <c r="W94" s="89">
        <f>AVERAGE(N94:V94)</f>
        <v>0.64113380503605411</v>
      </c>
    </row>
    <row r="95" spans="1:24">
      <c r="A95" s="59" t="s">
        <v>234</v>
      </c>
      <c r="B95" s="59" t="s">
        <v>642</v>
      </c>
      <c r="C95" s="60">
        <v>79.441946270033398</v>
      </c>
      <c r="D95" s="60" t="s">
        <v>261</v>
      </c>
      <c r="E95" s="60">
        <v>-44.2959746116586</v>
      </c>
      <c r="F95" s="60">
        <v>1787.25637181409</v>
      </c>
      <c r="G95" s="60" t="s">
        <v>261</v>
      </c>
      <c r="H95" s="60" t="s">
        <v>261</v>
      </c>
      <c r="I95" s="60">
        <v>26.467583969236301</v>
      </c>
      <c r="J95" s="60" t="s">
        <v>261</v>
      </c>
      <c r="K95" s="60" t="s">
        <v>261</v>
      </c>
      <c r="L95" s="66"/>
    </row>
    <row r="96" spans="1:24">
      <c r="A96" s="56"/>
      <c r="B96" s="57"/>
      <c r="C96" s="57"/>
      <c r="D96" s="57"/>
      <c r="E96" s="57"/>
      <c r="F96" s="57"/>
      <c r="G96" s="57"/>
      <c r="H96" s="57"/>
      <c r="I96" s="57"/>
      <c r="J96" s="57"/>
      <c r="K96" s="57"/>
      <c r="L96" s="64"/>
    </row>
    <row r="97" spans="1:12">
      <c r="A97" s="56" t="s">
        <v>644</v>
      </c>
      <c r="B97" s="56" t="s">
        <v>645</v>
      </c>
      <c r="C97" s="61">
        <v>1072200</v>
      </c>
      <c r="D97" s="61">
        <v>878700</v>
      </c>
      <c r="E97" s="61">
        <v>1389100</v>
      </c>
      <c r="F97" s="61">
        <v>1176900</v>
      </c>
      <c r="G97" s="61">
        <v>470100</v>
      </c>
      <c r="H97" s="61">
        <v>1699100</v>
      </c>
      <c r="I97" s="61">
        <v>756300</v>
      </c>
      <c r="J97" s="61">
        <v>1157600</v>
      </c>
      <c r="K97" s="61">
        <v>1294200</v>
      </c>
      <c r="L97" s="67">
        <v>1294199.9725341799</v>
      </c>
    </row>
    <row r="98" spans="1:12">
      <c r="A98" s="59" t="s">
        <v>234</v>
      </c>
      <c r="B98" s="59" t="s">
        <v>645</v>
      </c>
      <c r="C98" s="60">
        <v>39.919091739527602</v>
      </c>
      <c r="D98" s="60">
        <v>-18.047006155567999</v>
      </c>
      <c r="E98" s="60">
        <v>58.0858085808581</v>
      </c>
      <c r="F98" s="60">
        <v>-15.2760780361385</v>
      </c>
      <c r="G98" s="60">
        <v>-60.056079530971203</v>
      </c>
      <c r="H98" s="60">
        <v>261.43373750265903</v>
      </c>
      <c r="I98" s="60">
        <v>-55.488199635100898</v>
      </c>
      <c r="J98" s="60">
        <v>53.060954647626602</v>
      </c>
      <c r="K98" s="60">
        <v>11.8002764340014</v>
      </c>
      <c r="L98" s="66">
        <v>11.800275829770399</v>
      </c>
    </row>
    <row r="99" spans="1:12">
      <c r="A99" s="56" t="s">
        <v>646</v>
      </c>
      <c r="B99" s="56" t="s">
        <v>647</v>
      </c>
      <c r="C99" s="61">
        <v>69500</v>
      </c>
      <c r="D99" s="61">
        <v>74700</v>
      </c>
      <c r="E99" s="61">
        <v>96600</v>
      </c>
      <c r="F99" s="61">
        <v>137100</v>
      </c>
      <c r="G99" s="61">
        <v>299500</v>
      </c>
      <c r="H99" s="61">
        <v>396900</v>
      </c>
      <c r="I99" s="61">
        <v>501100</v>
      </c>
      <c r="J99" s="61">
        <v>474700</v>
      </c>
      <c r="K99" s="61">
        <v>524300</v>
      </c>
      <c r="L99" s="67">
        <v>524299.99084472703</v>
      </c>
    </row>
    <row r="100" spans="1:12">
      <c r="A100" s="59" t="s">
        <v>234</v>
      </c>
      <c r="B100" s="59" t="s">
        <v>647</v>
      </c>
      <c r="C100" s="60">
        <v>23.665480427046301</v>
      </c>
      <c r="D100" s="60">
        <v>7.4820143884892101</v>
      </c>
      <c r="E100" s="60">
        <v>29.317269076305202</v>
      </c>
      <c r="F100" s="60">
        <v>41.925465838509297</v>
      </c>
      <c r="G100" s="60">
        <v>118.453683442743</v>
      </c>
      <c r="H100" s="60">
        <v>32.520868113522504</v>
      </c>
      <c r="I100" s="60">
        <v>26.253464348702501</v>
      </c>
      <c r="J100" s="60">
        <v>-5.2684094991019803</v>
      </c>
      <c r="K100" s="60">
        <v>10.4487044449126</v>
      </c>
      <c r="L100" s="66">
        <v>10.4487021612414</v>
      </c>
    </row>
    <row r="101" spans="1:12">
      <c r="A101" s="56"/>
      <c r="B101" s="57"/>
      <c r="C101" s="57"/>
      <c r="D101" s="57"/>
      <c r="E101" s="57"/>
      <c r="F101" s="57"/>
      <c r="G101" s="57"/>
      <c r="H101" s="57"/>
      <c r="I101" s="57"/>
      <c r="J101" s="57"/>
      <c r="K101" s="57"/>
      <c r="L101" s="64"/>
    </row>
    <row r="102" spans="1:12">
      <c r="A102" s="56" t="s">
        <v>387</v>
      </c>
      <c r="B102" s="57"/>
      <c r="C102" s="57"/>
      <c r="D102" s="57"/>
      <c r="E102" s="57"/>
      <c r="F102" s="57"/>
      <c r="G102" s="57"/>
      <c r="H102" s="57"/>
      <c r="I102" s="57"/>
      <c r="J102" s="57"/>
      <c r="K102" s="57"/>
      <c r="L102" s="64"/>
    </row>
    <row r="103" spans="1:12">
      <c r="A103" s="58" t="s">
        <v>534</v>
      </c>
      <c r="B103" s="58" t="s">
        <v>534</v>
      </c>
      <c r="C103" s="8">
        <v>4534800</v>
      </c>
      <c r="D103" s="8">
        <v>5202000</v>
      </c>
      <c r="E103" s="8">
        <v>5201800</v>
      </c>
      <c r="F103" s="8">
        <v>5189200</v>
      </c>
      <c r="G103" s="8">
        <v>5527200</v>
      </c>
      <c r="H103" s="8">
        <v>4638500</v>
      </c>
      <c r="I103" s="8">
        <v>7975400</v>
      </c>
      <c r="J103" s="8">
        <v>7702000</v>
      </c>
      <c r="K103" s="8">
        <v>8922100</v>
      </c>
      <c r="L103" s="65">
        <v>8921900</v>
      </c>
    </row>
    <row r="104" spans="1:12">
      <c r="A104" s="59" t="s">
        <v>234</v>
      </c>
      <c r="B104" s="59" t="s">
        <v>534</v>
      </c>
      <c r="C104" s="60">
        <v>18.417548</v>
      </c>
      <c r="D104" s="60">
        <v>14.712887</v>
      </c>
      <c r="E104" s="60">
        <v>-3.8449999999999999E-3</v>
      </c>
      <c r="F104" s="60">
        <v>-0.24222399999999999</v>
      </c>
      <c r="G104" s="60">
        <v>6.513528</v>
      </c>
      <c r="H104" s="60">
        <v>-16.078665999999998</v>
      </c>
      <c r="I104" s="60">
        <v>71.939204000000004</v>
      </c>
      <c r="J104" s="60">
        <v>-3.4280409999999999</v>
      </c>
      <c r="K104" s="60">
        <v>15.841340000000001</v>
      </c>
      <c r="L104" s="66">
        <v>15.840247211727</v>
      </c>
    </row>
    <row r="105" spans="1:12">
      <c r="A105" s="58" t="s">
        <v>648</v>
      </c>
      <c r="B105" s="58" t="s">
        <v>536</v>
      </c>
      <c r="C105" s="8">
        <v>23.6647</v>
      </c>
      <c r="D105" s="8">
        <v>24.404299999999999</v>
      </c>
      <c r="E105" s="8">
        <v>23.236000000000001</v>
      </c>
      <c r="F105" s="8">
        <v>20.9923</v>
      </c>
      <c r="G105" s="8">
        <v>20.8506</v>
      </c>
      <c r="H105" s="8">
        <v>19.723199999999999</v>
      </c>
      <c r="I105" s="8">
        <v>27.443999999999999</v>
      </c>
      <c r="J105" s="8">
        <v>23.881900000000002</v>
      </c>
      <c r="K105" s="8">
        <v>24.8004</v>
      </c>
      <c r="L105" s="65">
        <v>24.799864352505601</v>
      </c>
    </row>
    <row r="106" spans="1:12">
      <c r="A106" s="59" t="s">
        <v>234</v>
      </c>
      <c r="B106" s="59" t="s">
        <v>536</v>
      </c>
      <c r="C106" s="60">
        <v>1.64059235445093</v>
      </c>
      <c r="D106" s="60">
        <v>3.1253016092644899</v>
      </c>
      <c r="E106" s="60">
        <v>-4.7872839552410298</v>
      </c>
      <c r="F106" s="60">
        <v>-9.6560451375179994</v>
      </c>
      <c r="G106" s="60">
        <v>-0.67520838797630001</v>
      </c>
      <c r="H106" s="60">
        <v>-5.4070455169810003</v>
      </c>
      <c r="I106" s="60">
        <v>39.145998231219302</v>
      </c>
      <c r="J106" s="60">
        <v>-12.9794453300246</v>
      </c>
      <c r="K106" s="60">
        <v>3.8458839287314301</v>
      </c>
      <c r="L106" s="66"/>
    </row>
    <row r="107" spans="1:12">
      <c r="A107" s="58" t="s">
        <v>649</v>
      </c>
      <c r="B107" s="58" t="s">
        <v>650</v>
      </c>
      <c r="C107" s="8">
        <v>284300</v>
      </c>
      <c r="D107" s="8">
        <v>0</v>
      </c>
      <c r="E107" s="8">
        <v>0</v>
      </c>
      <c r="F107" s="8" t="s">
        <v>261</v>
      </c>
      <c r="G107" s="8">
        <v>0</v>
      </c>
      <c r="H107" s="8">
        <v>0</v>
      </c>
      <c r="I107" s="8" t="s">
        <v>261</v>
      </c>
      <c r="J107" s="8" t="s">
        <v>261</v>
      </c>
      <c r="K107" s="8" t="s">
        <v>261</v>
      </c>
      <c r="L107" s="65"/>
    </row>
    <row r="108" spans="1:12">
      <c r="A108" s="59" t="s">
        <v>234</v>
      </c>
      <c r="B108" s="59" t="s">
        <v>650</v>
      </c>
      <c r="C108" s="60" t="s">
        <v>261</v>
      </c>
      <c r="D108" s="60" t="s">
        <v>261</v>
      </c>
      <c r="E108" s="60" t="s">
        <v>261</v>
      </c>
      <c r="F108" s="60" t="s">
        <v>261</v>
      </c>
      <c r="G108" s="60" t="s">
        <v>261</v>
      </c>
      <c r="H108" s="60" t="s">
        <v>261</v>
      </c>
      <c r="I108" s="60" t="s">
        <v>261</v>
      </c>
      <c r="J108" s="60" t="s">
        <v>261</v>
      </c>
      <c r="K108" s="60" t="s">
        <v>261</v>
      </c>
      <c r="L108" s="66"/>
    </row>
    <row r="109" spans="1:12">
      <c r="A109" s="58" t="s">
        <v>651</v>
      </c>
      <c r="B109" s="58" t="s">
        <v>652</v>
      </c>
      <c r="C109" s="8">
        <v>56900</v>
      </c>
      <c r="D109" s="8" t="s">
        <v>261</v>
      </c>
      <c r="E109" s="8" t="s">
        <v>261</v>
      </c>
      <c r="F109" s="8" t="s">
        <v>261</v>
      </c>
      <c r="G109" s="8" t="s">
        <v>261</v>
      </c>
      <c r="H109" s="8" t="s">
        <v>261</v>
      </c>
      <c r="I109" s="8" t="s">
        <v>261</v>
      </c>
      <c r="J109" s="8" t="s">
        <v>261</v>
      </c>
      <c r="K109" s="8" t="s">
        <v>261</v>
      </c>
      <c r="L109" s="65"/>
    </row>
    <row r="110" spans="1:12">
      <c r="A110" s="59" t="s">
        <v>234</v>
      </c>
      <c r="B110" s="59" t="s">
        <v>652</v>
      </c>
      <c r="C110" s="60">
        <v>53.369272237196803</v>
      </c>
      <c r="D110" s="60" t="s">
        <v>261</v>
      </c>
      <c r="E110" s="60" t="s">
        <v>261</v>
      </c>
      <c r="F110" s="60" t="s">
        <v>261</v>
      </c>
      <c r="G110" s="60" t="s">
        <v>261</v>
      </c>
      <c r="H110" s="60" t="s">
        <v>261</v>
      </c>
      <c r="I110" s="60" t="s">
        <v>261</v>
      </c>
      <c r="J110" s="60" t="s">
        <v>261</v>
      </c>
      <c r="K110" s="60" t="s">
        <v>261</v>
      </c>
      <c r="L110" s="66"/>
    </row>
    <row r="111" spans="1:12">
      <c r="A111" s="58" t="s">
        <v>653</v>
      </c>
      <c r="B111" s="58" t="s">
        <v>654</v>
      </c>
      <c r="C111" s="8">
        <v>2445400</v>
      </c>
      <c r="D111" s="8">
        <v>3257600</v>
      </c>
      <c r="E111" s="8">
        <v>2732400</v>
      </c>
      <c r="F111" s="8">
        <v>9961400</v>
      </c>
      <c r="G111" s="8">
        <v>3240400</v>
      </c>
      <c r="H111" s="8">
        <v>114200</v>
      </c>
      <c r="I111" s="8">
        <v>4519100</v>
      </c>
      <c r="J111" s="8">
        <v>2556000</v>
      </c>
      <c r="K111" s="8">
        <v>3675100</v>
      </c>
      <c r="L111" s="65">
        <v>3675100</v>
      </c>
    </row>
    <row r="112" spans="1:12">
      <c r="A112" s="59" t="s">
        <v>234</v>
      </c>
      <c r="B112" s="59" t="s">
        <v>654</v>
      </c>
      <c r="C112" s="60" t="s">
        <v>261</v>
      </c>
      <c r="D112" s="60">
        <v>33.213380224094202</v>
      </c>
      <c r="E112" s="60">
        <v>-16.1222986247544</v>
      </c>
      <c r="F112" s="60">
        <v>264.56594934855798</v>
      </c>
      <c r="G112" s="60">
        <v>-67.470435882506493</v>
      </c>
      <c r="H112" s="60">
        <v>-96.475743735341297</v>
      </c>
      <c r="I112" s="60">
        <v>3857.1803852889698</v>
      </c>
      <c r="J112" s="60">
        <v>-43.440065499767698</v>
      </c>
      <c r="K112" s="60">
        <v>43.783255086072003</v>
      </c>
      <c r="L112" s="66">
        <v>43.783255086072003</v>
      </c>
    </row>
    <row r="113" spans="1:12">
      <c r="A113" s="58" t="s">
        <v>655</v>
      </c>
      <c r="B113" s="58" t="s">
        <v>656</v>
      </c>
      <c r="C113" s="8">
        <v>2495241.3144</v>
      </c>
      <c r="D113" s="8">
        <v>3312184.0447</v>
      </c>
      <c r="E113" s="8">
        <v>2794207.3538000002</v>
      </c>
      <c r="F113" s="8">
        <v>10094516.851199999</v>
      </c>
      <c r="G113" s="8">
        <v>3506803.7884999998</v>
      </c>
      <c r="H113" s="8">
        <v>461240.45</v>
      </c>
      <c r="I113" s="8">
        <v>4887466.2081000004</v>
      </c>
      <c r="J113" s="8">
        <v>2930667.1376999998</v>
      </c>
      <c r="K113" s="8">
        <v>4095136.9259000001</v>
      </c>
      <c r="L113" s="65">
        <v>4094652.88816409</v>
      </c>
    </row>
    <row r="114" spans="1:12">
      <c r="A114" s="59" t="s">
        <v>234</v>
      </c>
      <c r="B114" s="59" t="s">
        <v>656</v>
      </c>
      <c r="C114" s="60" t="s">
        <v>261</v>
      </c>
      <c r="D114" s="60">
        <v>32.7400290471465</v>
      </c>
      <c r="E114" s="60">
        <v>-15.6385238248438</v>
      </c>
      <c r="F114" s="60">
        <v>261.26584652171101</v>
      </c>
      <c r="G114" s="60">
        <v>-65.2603107235132</v>
      </c>
      <c r="H114" s="60">
        <v>-86.847269539906193</v>
      </c>
      <c r="I114" s="60">
        <v>959.63520935772203</v>
      </c>
      <c r="J114" s="60">
        <v>-40.037086431350303</v>
      </c>
      <c r="K114" s="60">
        <v>39.733949069176099</v>
      </c>
      <c r="L114" s="66">
        <v>39.718960785643503</v>
      </c>
    </row>
    <row r="115" spans="1:12">
      <c r="A115" s="58" t="s">
        <v>657</v>
      </c>
      <c r="B115" s="58" t="s">
        <v>658</v>
      </c>
      <c r="C115" s="8">
        <v>2683800</v>
      </c>
      <c r="D115" s="8">
        <v>4512100</v>
      </c>
      <c r="E115" s="8">
        <v>3082600</v>
      </c>
      <c r="F115" s="8">
        <v>15545500</v>
      </c>
      <c r="G115" s="8">
        <v>4886400</v>
      </c>
      <c r="H115" s="8">
        <v>5280700</v>
      </c>
      <c r="I115" s="8">
        <v>2837900</v>
      </c>
      <c r="J115" s="8">
        <v>3229100</v>
      </c>
      <c r="K115" s="8">
        <v>4143700</v>
      </c>
      <c r="L115" s="65">
        <v>4143700</v>
      </c>
    </row>
    <row r="116" spans="1:12">
      <c r="A116" s="59" t="s">
        <v>234</v>
      </c>
      <c r="B116" s="59" t="s">
        <v>658</v>
      </c>
      <c r="C116" s="60">
        <v>1273.49027635619</v>
      </c>
      <c r="D116" s="60">
        <v>68.123556151725197</v>
      </c>
      <c r="E116" s="60">
        <v>-31.681478690631899</v>
      </c>
      <c r="F116" s="60">
        <v>404.29831960033698</v>
      </c>
      <c r="G116" s="60">
        <v>-68.567109452896304</v>
      </c>
      <c r="H116" s="60">
        <v>8.0693352979698805</v>
      </c>
      <c r="I116" s="60">
        <v>-46.259018690703897</v>
      </c>
      <c r="J116" s="60">
        <v>13.784840903485</v>
      </c>
      <c r="K116" s="60">
        <v>28.3236815211669</v>
      </c>
      <c r="L116" s="66">
        <v>-12.343459130140401</v>
      </c>
    </row>
    <row r="117" spans="1:12">
      <c r="A117" s="58" t="s">
        <v>659</v>
      </c>
      <c r="B117" s="58" t="s">
        <v>660</v>
      </c>
      <c r="C117" s="8">
        <v>1.6347</v>
      </c>
      <c r="D117" s="8">
        <v>2.2136</v>
      </c>
      <c r="E117" s="8">
        <v>1.8851</v>
      </c>
      <c r="F117" s="8">
        <v>7.2042999999999999</v>
      </c>
      <c r="G117" s="8">
        <v>2.6535000000000002</v>
      </c>
      <c r="H117" s="8">
        <v>9.74E-2</v>
      </c>
      <c r="I117" s="8">
        <v>3.8376000000000001</v>
      </c>
      <c r="J117" s="8">
        <v>2.2162000000000002</v>
      </c>
      <c r="K117" s="8">
        <v>3.2046999999999999</v>
      </c>
      <c r="L117" s="65">
        <v>3.20117923659677</v>
      </c>
    </row>
    <row r="118" spans="1:12">
      <c r="A118" s="59" t="s">
        <v>234</v>
      </c>
      <c r="B118" s="59" t="s">
        <v>660</v>
      </c>
      <c r="C118" s="60" t="s">
        <v>261</v>
      </c>
      <c r="D118" s="60">
        <v>35.413079184087898</v>
      </c>
      <c r="E118" s="60">
        <v>-14.8434369557901</v>
      </c>
      <c r="F118" s="60">
        <v>282.17853611336301</v>
      </c>
      <c r="G118" s="60">
        <v>-63.168492194255997</v>
      </c>
      <c r="H118" s="60">
        <v>-96.330295282831102</v>
      </c>
      <c r="I118" s="60">
        <v>3841.0427834945699</v>
      </c>
      <c r="J118" s="60">
        <v>-42.248350575666599</v>
      </c>
      <c r="K118" s="60">
        <v>44.598192712100499</v>
      </c>
      <c r="L118" s="66">
        <v>45.533144052844897</v>
      </c>
    </row>
    <row r="119" spans="1:12">
      <c r="A119" s="58" t="s">
        <v>661</v>
      </c>
      <c r="B119" s="58" t="s">
        <v>662</v>
      </c>
      <c r="C119" s="8">
        <v>35.473599999999998</v>
      </c>
      <c r="D119" s="8">
        <v>24.4574</v>
      </c>
      <c r="E119" s="8">
        <v>28.4924</v>
      </c>
      <c r="F119" s="8">
        <v>7.8897000000000004</v>
      </c>
      <c r="G119" s="8">
        <v>33.303699999999999</v>
      </c>
      <c r="H119" s="8">
        <v>865.73590000000002</v>
      </c>
      <c r="I119" s="8">
        <v>29.425000000000001</v>
      </c>
      <c r="J119" s="8">
        <v>38.019199999999998</v>
      </c>
      <c r="K119" s="8">
        <v>28.480399999999999</v>
      </c>
      <c r="L119" s="65">
        <v>29.158003797726199</v>
      </c>
    </row>
    <row r="120" spans="1:12">
      <c r="A120" s="59" t="s">
        <v>234</v>
      </c>
      <c r="B120" s="59" t="s">
        <v>662</v>
      </c>
      <c r="C120" s="60" t="s">
        <v>261</v>
      </c>
      <c r="D120" s="60">
        <v>-31.054725958353099</v>
      </c>
      <c r="E120" s="60">
        <v>16.4980953207657</v>
      </c>
      <c r="F120" s="60">
        <v>-72.309388144292797</v>
      </c>
      <c r="G120" s="60">
        <v>322.11558558281098</v>
      </c>
      <c r="H120" s="60">
        <v>2499.5153998010201</v>
      </c>
      <c r="I120" s="60">
        <v>-96.601155625864294</v>
      </c>
      <c r="J120" s="60">
        <v>29.207042742134799</v>
      </c>
      <c r="K120" s="60">
        <v>-25.089330538920201</v>
      </c>
      <c r="L120" s="66"/>
    </row>
    <row r="121" spans="1:12">
      <c r="A121" s="58" t="s">
        <v>663</v>
      </c>
      <c r="B121" s="58" t="s">
        <v>664</v>
      </c>
      <c r="C121" s="8">
        <v>1.3596999999999999</v>
      </c>
      <c r="D121" s="8">
        <v>1.6673</v>
      </c>
      <c r="E121" s="8">
        <v>1.4739</v>
      </c>
      <c r="F121" s="8">
        <v>2.6421000000000001</v>
      </c>
      <c r="G121" s="8">
        <v>1.4023000000000001</v>
      </c>
      <c r="H121" s="8">
        <v>1.7212000000000001</v>
      </c>
      <c r="I121" s="8">
        <v>1.4261999999999999</v>
      </c>
      <c r="J121" s="8">
        <v>1.34</v>
      </c>
      <c r="K121" s="8">
        <v>1.4568000000000001</v>
      </c>
      <c r="L121" s="65">
        <v>1.5951775608956</v>
      </c>
    </row>
    <row r="122" spans="1:12">
      <c r="A122" s="59" t="s">
        <v>234</v>
      </c>
      <c r="B122" s="59" t="s">
        <v>664</v>
      </c>
      <c r="C122" s="60">
        <v>362.63436012426303</v>
      </c>
      <c r="D122" s="60">
        <v>22.625822822049798</v>
      </c>
      <c r="E122" s="60">
        <v>-11.5977980929441</v>
      </c>
      <c r="F122" s="60">
        <v>79.257405791654094</v>
      </c>
      <c r="G122" s="60">
        <v>-46.926460012868603</v>
      </c>
      <c r="H122" s="60">
        <v>22.745846692758001</v>
      </c>
      <c r="I122" s="60">
        <v>-17.138921375705799</v>
      </c>
      <c r="J122" s="60">
        <v>-6.0458668895411201</v>
      </c>
      <c r="K122" s="60">
        <v>8.7197860874769599</v>
      </c>
      <c r="L122" s="66"/>
    </row>
    <row r="123" spans="1:12">
      <c r="A123" s="63" t="s">
        <v>417</v>
      </c>
      <c r="B123" s="63"/>
      <c r="C123" s="63" t="s">
        <v>418</v>
      </c>
      <c r="D123" s="63"/>
      <c r="E123" s="63"/>
      <c r="F123" s="63"/>
      <c r="G123" s="63"/>
      <c r="H123" s="63"/>
      <c r="I123" s="63"/>
      <c r="J123" s="63"/>
      <c r="K123" s="63"/>
      <c r="L123" s="6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FCE6-6C59-B947-8BDC-A03A6A3E0BF1}">
  <dimension ref="B2:D10"/>
  <sheetViews>
    <sheetView showGridLines="0" workbookViewId="0">
      <selection activeCell="B2" sqref="B2"/>
    </sheetView>
  </sheetViews>
  <sheetFormatPr baseColWidth="10" defaultColWidth="11" defaultRowHeight="16"/>
  <cols>
    <col min="2" max="2" width="16.83203125" customWidth="1"/>
    <col min="4" max="4" width="54" customWidth="1"/>
  </cols>
  <sheetData>
    <row r="2" spans="2:4">
      <c r="B2" s="111" t="s">
        <v>665</v>
      </c>
      <c r="C2" s="112" t="s">
        <v>666</v>
      </c>
      <c r="D2" s="111" t="s">
        <v>667</v>
      </c>
    </row>
    <row r="3" spans="2:4">
      <c r="B3" s="108" t="s">
        <v>668</v>
      </c>
      <c r="C3" s="109">
        <v>3.5000000000000003E-2</v>
      </c>
      <c r="D3" s="108" t="s">
        <v>669</v>
      </c>
    </row>
    <row r="4" spans="2:4">
      <c r="B4" s="108" t="s">
        <v>670</v>
      </c>
      <c r="C4" s="109">
        <v>5.5300000000000002E-2</v>
      </c>
      <c r="D4" s="108" t="s">
        <v>671</v>
      </c>
    </row>
    <row r="5" spans="2:4">
      <c r="B5" s="108" t="s">
        <v>135</v>
      </c>
      <c r="C5" s="113">
        <v>0.94</v>
      </c>
      <c r="D5" s="108" t="s">
        <v>672</v>
      </c>
    </row>
    <row r="6" spans="2:4">
      <c r="B6" s="108" t="s">
        <v>673</v>
      </c>
      <c r="C6" s="109">
        <v>9.0300000000000005E-2</v>
      </c>
      <c r="D6" s="108" t="s">
        <v>674</v>
      </c>
    </row>
    <row r="7" spans="2:4">
      <c r="B7" s="108" t="s">
        <v>675</v>
      </c>
      <c r="C7" s="109">
        <v>3.6999999999999998E-2</v>
      </c>
      <c r="D7" s="108" t="s">
        <v>676</v>
      </c>
    </row>
    <row r="8" spans="2:4">
      <c r="B8" s="108" t="s">
        <v>677</v>
      </c>
      <c r="C8" s="109">
        <v>0.24</v>
      </c>
      <c r="D8" s="108" t="s">
        <v>678</v>
      </c>
    </row>
    <row r="9" spans="2:4">
      <c r="B9" s="108" t="s">
        <v>679</v>
      </c>
      <c r="C9" s="109">
        <v>2.7E-2</v>
      </c>
      <c r="D9" s="110"/>
    </row>
    <row r="10" spans="2:4" ht="14" customHeight="1">
      <c r="B10" s="108" t="s">
        <v>43</v>
      </c>
      <c r="C10" s="109">
        <v>7.8799999999999995E-2</v>
      </c>
      <c r="D10" s="108" t="s">
        <v>680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A799-731D-1040-A0F1-D4A65D6A11D3}">
  <dimension ref="B1:AF35"/>
  <sheetViews>
    <sheetView showGridLines="0" workbookViewId="0"/>
  </sheetViews>
  <sheetFormatPr baseColWidth="10" defaultColWidth="11" defaultRowHeight="16"/>
  <cols>
    <col min="2" max="2" width="21.5" bestFit="1" customWidth="1"/>
    <col min="3" max="5" width="12.5" bestFit="1" customWidth="1"/>
    <col min="8" max="8" width="10.83203125" bestFit="1" customWidth="1"/>
    <col min="9" max="9" width="23.6640625" bestFit="1" customWidth="1"/>
    <col min="16" max="16" width="24.5" bestFit="1" customWidth="1"/>
    <col min="17" max="17" width="28.33203125" bestFit="1" customWidth="1"/>
    <col min="18" max="18" width="5.5" bestFit="1" customWidth="1"/>
    <col min="19" max="19" width="17.6640625" bestFit="1" customWidth="1"/>
    <col min="20" max="20" width="16.6640625" bestFit="1" customWidth="1"/>
    <col min="21" max="21" width="23.5" bestFit="1" customWidth="1"/>
    <col min="22" max="22" width="19.6640625" bestFit="1" customWidth="1"/>
    <col min="23" max="23" width="24.83203125" bestFit="1" customWidth="1"/>
    <col min="31" max="31" width="20.83203125" bestFit="1" customWidth="1"/>
    <col min="32" max="32" width="14" bestFit="1" customWidth="1"/>
  </cols>
  <sheetData>
    <row r="1" spans="2:32" ht="21">
      <c r="P1" s="340" t="s">
        <v>681</v>
      </c>
      <c r="Q1" s="341"/>
      <c r="R1" s="341"/>
      <c r="S1" s="341"/>
      <c r="T1" s="341"/>
      <c r="U1" s="341"/>
      <c r="V1" s="341"/>
      <c r="W1" s="342"/>
      <c r="AB1" s="167" t="s">
        <v>682</v>
      </c>
      <c r="AE1" s="336" t="s">
        <v>683</v>
      </c>
      <c r="AF1" s="336"/>
    </row>
    <row r="2" spans="2:32" ht="27" customHeight="1">
      <c r="B2" s="120"/>
      <c r="C2" s="121" t="s">
        <v>38</v>
      </c>
      <c r="D2" s="121" t="s">
        <v>212</v>
      </c>
      <c r="E2" s="122" t="s">
        <v>40</v>
      </c>
      <c r="P2" s="144" t="s">
        <v>684</v>
      </c>
      <c r="Q2" s="145" t="s">
        <v>685</v>
      </c>
      <c r="R2" s="145" t="s">
        <v>686</v>
      </c>
      <c r="S2" s="145" t="s">
        <v>687</v>
      </c>
      <c r="T2" s="145" t="s">
        <v>688</v>
      </c>
      <c r="U2" s="145" t="s">
        <v>689</v>
      </c>
      <c r="V2" s="145" t="s">
        <v>690</v>
      </c>
      <c r="W2" s="147" t="s">
        <v>691</v>
      </c>
      <c r="AB2" s="167" t="s">
        <v>692</v>
      </c>
      <c r="AE2" s="168" t="s">
        <v>693</v>
      </c>
      <c r="AF2" s="169">
        <v>112</v>
      </c>
    </row>
    <row r="3" spans="2:32" ht="21">
      <c r="B3" s="123" t="s">
        <v>43</v>
      </c>
      <c r="C3" s="115">
        <v>8.0485630598429656E-2</v>
      </c>
      <c r="D3" s="115">
        <v>7.8804136760527999E-2</v>
      </c>
      <c r="E3" s="124">
        <v>7.7853671628641555E-2</v>
      </c>
      <c r="P3" s="151" t="s">
        <v>694</v>
      </c>
      <c r="Q3" s="149" t="s">
        <v>695</v>
      </c>
      <c r="R3" s="149">
        <v>56</v>
      </c>
      <c r="S3" s="149">
        <f t="shared" ref="S3:S10" ca="1" si="0">YEAR(TODAY())-T3</f>
        <v>2</v>
      </c>
      <c r="T3" s="149">
        <v>2022</v>
      </c>
      <c r="U3" s="149" t="s">
        <v>696</v>
      </c>
      <c r="V3" s="159">
        <v>14604531</v>
      </c>
      <c r="W3" s="156">
        <v>1.46E-4</v>
      </c>
      <c r="AB3" s="167" t="s">
        <v>682</v>
      </c>
      <c r="AE3" s="168" t="s">
        <v>697</v>
      </c>
      <c r="AF3" s="169">
        <v>96</v>
      </c>
    </row>
    <row r="4" spans="2:32" ht="21">
      <c r="B4" s="123" t="s">
        <v>147</v>
      </c>
      <c r="C4" s="115">
        <v>0.1849055696114997</v>
      </c>
      <c r="D4" s="115">
        <v>0.1849055696114997</v>
      </c>
      <c r="E4" s="124">
        <v>0.1849055696114997</v>
      </c>
      <c r="P4" s="151" t="s">
        <v>698</v>
      </c>
      <c r="Q4" s="149" t="s">
        <v>699</v>
      </c>
      <c r="R4" s="149">
        <v>56</v>
      </c>
      <c r="S4" s="149">
        <f t="shared" ca="1" si="0"/>
        <v>23</v>
      </c>
      <c r="T4" s="149">
        <v>2001</v>
      </c>
      <c r="U4" s="149" t="s">
        <v>700</v>
      </c>
      <c r="V4" s="159">
        <v>6750140</v>
      </c>
      <c r="W4" s="154">
        <v>6.3999999999999997E-5</v>
      </c>
      <c r="AB4" s="167" t="s">
        <v>701</v>
      </c>
      <c r="AE4" s="168" t="s">
        <v>702</v>
      </c>
      <c r="AF4" s="169">
        <v>82</v>
      </c>
    </row>
    <row r="5" spans="2:32" ht="21">
      <c r="B5" s="123" t="s">
        <v>148</v>
      </c>
      <c r="C5" s="115">
        <v>0.81509443038850027</v>
      </c>
      <c r="D5" s="115">
        <v>0.81509443038850027</v>
      </c>
      <c r="E5" s="124">
        <v>0.81509443038850027</v>
      </c>
      <c r="P5" s="151" t="s">
        <v>703</v>
      </c>
      <c r="Q5" s="149" t="s">
        <v>704</v>
      </c>
      <c r="R5" s="149">
        <v>52</v>
      </c>
      <c r="S5" s="149">
        <f t="shared" ca="1" si="0"/>
        <v>23</v>
      </c>
      <c r="T5" s="149">
        <v>2001</v>
      </c>
      <c r="U5" s="149" t="s">
        <v>705</v>
      </c>
      <c r="V5" s="149" t="s">
        <v>706</v>
      </c>
      <c r="W5" s="155" t="s">
        <v>706</v>
      </c>
      <c r="AB5" s="167" t="s">
        <v>707</v>
      </c>
      <c r="AE5" s="168" t="s">
        <v>708</v>
      </c>
      <c r="AF5" s="170">
        <v>0.37890000000000001</v>
      </c>
    </row>
    <row r="6" spans="2:32" ht="21">
      <c r="B6" s="123" t="s">
        <v>149</v>
      </c>
      <c r="C6" s="115">
        <v>4.3400000000000001E-2</v>
      </c>
      <c r="D6" s="115">
        <v>3.5000000000000003E-2</v>
      </c>
      <c r="E6" s="124">
        <v>0.03</v>
      </c>
      <c r="P6" s="151" t="s">
        <v>709</v>
      </c>
      <c r="Q6" s="149" t="s">
        <v>710</v>
      </c>
      <c r="R6" s="149">
        <v>59</v>
      </c>
      <c r="S6" s="149">
        <f t="shared" ca="1" si="0"/>
        <v>5</v>
      </c>
      <c r="T6" s="149">
        <v>2019</v>
      </c>
      <c r="U6" s="149" t="s">
        <v>711</v>
      </c>
      <c r="V6" s="159">
        <v>8421507</v>
      </c>
      <c r="W6" s="156">
        <v>7.3999999999999996E-5</v>
      </c>
      <c r="AB6" s="167" t="s">
        <v>712</v>
      </c>
      <c r="AE6" s="168" t="s">
        <v>713</v>
      </c>
      <c r="AF6" s="170">
        <v>0.17860000000000001</v>
      </c>
    </row>
    <row r="7" spans="2:32" ht="21">
      <c r="B7" s="123" t="s">
        <v>135</v>
      </c>
      <c r="C7" s="115">
        <v>0.94</v>
      </c>
      <c r="D7" s="115">
        <v>0.94</v>
      </c>
      <c r="E7" s="124">
        <v>0.94</v>
      </c>
      <c r="P7" s="151" t="s">
        <v>714</v>
      </c>
      <c r="Q7" s="149" t="s">
        <v>699</v>
      </c>
      <c r="R7" s="149">
        <v>55</v>
      </c>
      <c r="S7" s="149">
        <f t="shared" ca="1" si="0"/>
        <v>5</v>
      </c>
      <c r="T7" s="149">
        <v>2019</v>
      </c>
      <c r="U7" s="149" t="s">
        <v>715</v>
      </c>
      <c r="V7" s="159" t="s">
        <v>706</v>
      </c>
      <c r="W7" s="155" t="s">
        <v>706</v>
      </c>
      <c r="AB7" s="167" t="s">
        <v>716</v>
      </c>
      <c r="AE7" s="168" t="s">
        <v>717</v>
      </c>
      <c r="AF7" s="170">
        <v>0.44259999999999999</v>
      </c>
    </row>
    <row r="8" spans="2:32" ht="22">
      <c r="B8" s="123" t="s">
        <v>150</v>
      </c>
      <c r="C8" s="115">
        <v>9.3799999999999994E-2</v>
      </c>
      <c r="D8" s="115">
        <v>9.3799999999999994E-2</v>
      </c>
      <c r="E8" s="124">
        <v>9.3799999999999994E-2</v>
      </c>
      <c r="P8" s="151" t="s">
        <v>718</v>
      </c>
      <c r="Q8" s="160" t="s">
        <v>719</v>
      </c>
      <c r="R8" s="149">
        <v>50</v>
      </c>
      <c r="S8" s="149">
        <f t="shared" ca="1" si="0"/>
        <v>1</v>
      </c>
      <c r="T8" s="149">
        <v>2023</v>
      </c>
      <c r="U8" s="149" t="s">
        <v>720</v>
      </c>
      <c r="V8" s="159">
        <v>2784012</v>
      </c>
      <c r="W8" s="154">
        <v>4.1E-5</v>
      </c>
      <c r="AB8" s="167" t="s">
        <v>721</v>
      </c>
      <c r="AE8" s="168" t="s">
        <v>722</v>
      </c>
      <c r="AF8" s="171">
        <v>1000000</v>
      </c>
    </row>
    <row r="9" spans="2:32" ht="44">
      <c r="B9" s="123" t="s">
        <v>152</v>
      </c>
      <c r="C9" s="115">
        <v>0.23643532831040931</v>
      </c>
      <c r="D9" s="115">
        <v>0.23643532831040931</v>
      </c>
      <c r="E9" s="124">
        <v>0.23643532831040931</v>
      </c>
      <c r="P9" s="151" t="s">
        <v>723</v>
      </c>
      <c r="Q9" s="160" t="s">
        <v>724</v>
      </c>
      <c r="R9" s="149">
        <v>54</v>
      </c>
      <c r="S9" s="149">
        <f t="shared" ca="1" si="0"/>
        <v>7</v>
      </c>
      <c r="T9" s="149">
        <v>2017</v>
      </c>
      <c r="U9" s="149" t="s">
        <v>720</v>
      </c>
      <c r="V9" s="159">
        <v>2973927</v>
      </c>
      <c r="W9" s="154">
        <v>2.1999999999999999E-5</v>
      </c>
      <c r="AB9" s="167" t="s">
        <v>725</v>
      </c>
    </row>
    <row r="10" spans="2:32" ht="21">
      <c r="B10" s="123" t="s">
        <v>153</v>
      </c>
      <c r="C10" s="119">
        <v>108440000</v>
      </c>
      <c r="D10" s="118">
        <v>108440000</v>
      </c>
      <c r="E10" s="127">
        <v>108440000</v>
      </c>
      <c r="P10" s="157" t="s">
        <v>726</v>
      </c>
      <c r="Q10" s="150" t="s">
        <v>727</v>
      </c>
      <c r="R10" s="150">
        <v>53</v>
      </c>
      <c r="S10" s="150">
        <f t="shared" ca="1" si="0"/>
        <v>2</v>
      </c>
      <c r="T10" s="150">
        <v>2022</v>
      </c>
      <c r="U10" s="150" t="s">
        <v>706</v>
      </c>
      <c r="V10" s="161">
        <v>757597</v>
      </c>
      <c r="W10" s="162" t="s">
        <v>706</v>
      </c>
      <c r="AB10" s="167" t="s">
        <v>728</v>
      </c>
    </row>
    <row r="11" spans="2:32" ht="21">
      <c r="B11" s="123" t="s">
        <v>84</v>
      </c>
      <c r="C11" s="119">
        <v>3127400</v>
      </c>
      <c r="D11" s="118">
        <v>3127400</v>
      </c>
      <c r="E11" s="127">
        <v>3127400</v>
      </c>
      <c r="P11" s="143"/>
      <c r="Q11" s="143"/>
      <c r="R11" s="143"/>
      <c r="S11" s="143"/>
      <c r="T11" s="143"/>
      <c r="U11" s="143"/>
      <c r="V11" s="143"/>
      <c r="W11" s="143"/>
      <c r="AB11" s="167" t="s">
        <v>682</v>
      </c>
    </row>
    <row r="12" spans="2:32" ht="21">
      <c r="B12" s="123" t="s">
        <v>154</v>
      </c>
      <c r="C12" s="119">
        <v>21472400</v>
      </c>
      <c r="D12" s="118">
        <v>21472400</v>
      </c>
      <c r="E12" s="127">
        <v>21472400</v>
      </c>
      <c r="P12" s="143"/>
      <c r="Q12" s="143"/>
      <c r="R12" s="143"/>
      <c r="S12" s="143"/>
      <c r="T12" s="143"/>
      <c r="U12" s="143"/>
      <c r="V12" s="143"/>
      <c r="W12" s="143"/>
    </row>
    <row r="13" spans="2:32" ht="21">
      <c r="B13" s="123" t="s">
        <v>88</v>
      </c>
      <c r="C13" s="119">
        <v>24599800</v>
      </c>
      <c r="D13" s="118">
        <v>24599800</v>
      </c>
      <c r="E13" s="127">
        <v>24599800</v>
      </c>
      <c r="P13" s="340" t="s">
        <v>729</v>
      </c>
      <c r="Q13" s="341"/>
      <c r="R13" s="341"/>
      <c r="S13" s="341"/>
      <c r="T13" s="341"/>
      <c r="U13" s="341"/>
      <c r="V13" s="341"/>
      <c r="W13" s="342"/>
    </row>
    <row r="14" spans="2:32" ht="44">
      <c r="B14" s="123" t="s">
        <v>155</v>
      </c>
      <c r="C14" s="116">
        <v>0</v>
      </c>
      <c r="D14" s="116">
        <v>0</v>
      </c>
      <c r="E14" s="128">
        <v>0</v>
      </c>
      <c r="P14" s="173" t="s">
        <v>684</v>
      </c>
      <c r="Q14" s="146" t="s">
        <v>685</v>
      </c>
      <c r="R14" s="146" t="s">
        <v>686</v>
      </c>
      <c r="S14" s="146" t="s">
        <v>687</v>
      </c>
      <c r="T14" s="146" t="s">
        <v>730</v>
      </c>
      <c r="U14" s="146" t="s">
        <v>689</v>
      </c>
      <c r="V14" s="146" t="s">
        <v>690</v>
      </c>
      <c r="W14" s="148" t="s">
        <v>691</v>
      </c>
    </row>
    <row r="15" spans="2:32" ht="21">
      <c r="B15" s="123" t="s">
        <v>156</v>
      </c>
      <c r="C15" s="134">
        <v>133039800</v>
      </c>
      <c r="D15" s="134">
        <v>133039800</v>
      </c>
      <c r="E15" s="133">
        <v>133039800</v>
      </c>
      <c r="P15" s="151" t="s">
        <v>731</v>
      </c>
      <c r="Q15" s="149" t="s">
        <v>732</v>
      </c>
      <c r="R15" s="149">
        <v>54</v>
      </c>
      <c r="S15" s="149">
        <f t="shared" ref="S15:S25" ca="1" si="1">YEAR(TODAY())-T15</f>
        <v>3</v>
      </c>
      <c r="T15" s="149">
        <v>2021</v>
      </c>
      <c r="U15" s="149" t="s">
        <v>706</v>
      </c>
      <c r="V15" s="149" t="s">
        <v>706</v>
      </c>
      <c r="W15" s="152">
        <v>6.3900000000000003E-4</v>
      </c>
    </row>
    <row r="16" spans="2:32" ht="44">
      <c r="B16" s="123" t="s">
        <v>157</v>
      </c>
      <c r="C16" s="115">
        <v>9.0775999999999996E-2</v>
      </c>
      <c r="D16" s="115">
        <v>9.0271999999999991E-2</v>
      </c>
      <c r="E16" s="124">
        <v>8.9971999999999996E-2</v>
      </c>
      <c r="P16" s="153" t="s">
        <v>733</v>
      </c>
      <c r="Q16" s="149" t="s">
        <v>734</v>
      </c>
      <c r="R16" s="149">
        <v>56</v>
      </c>
      <c r="S16" s="149">
        <f t="shared" ca="1" si="1"/>
        <v>5</v>
      </c>
      <c r="T16" s="149">
        <v>2019</v>
      </c>
      <c r="U16" s="149" t="s">
        <v>706</v>
      </c>
      <c r="V16" s="149" t="s">
        <v>706</v>
      </c>
      <c r="W16" s="154">
        <v>2.4000000000000001E-5</v>
      </c>
    </row>
    <row r="17" spans="2:23" ht="21">
      <c r="B17" s="129" t="s">
        <v>213</v>
      </c>
      <c r="C17" s="130">
        <v>4.5999999999999999E-2</v>
      </c>
      <c r="D17" s="130">
        <v>3.6999999999999998E-2</v>
      </c>
      <c r="E17" s="131">
        <v>3.2000000000000001E-2</v>
      </c>
      <c r="P17" s="151" t="s">
        <v>735</v>
      </c>
      <c r="Q17" s="149" t="s">
        <v>734</v>
      </c>
      <c r="R17" s="149">
        <v>52</v>
      </c>
      <c r="S17" s="149">
        <f t="shared" ca="1" si="1"/>
        <v>5</v>
      </c>
      <c r="T17" s="149">
        <v>2019</v>
      </c>
      <c r="U17" s="149" t="s">
        <v>720</v>
      </c>
      <c r="V17" s="149" t="s">
        <v>706</v>
      </c>
      <c r="W17" s="155"/>
    </row>
    <row r="18" spans="2:23" ht="21">
      <c r="P18" s="151" t="s">
        <v>736</v>
      </c>
      <c r="Q18" s="149" t="s">
        <v>734</v>
      </c>
      <c r="R18" s="149">
        <v>59</v>
      </c>
      <c r="S18" s="149">
        <f t="shared" ca="1" si="1"/>
        <v>1</v>
      </c>
      <c r="T18" s="149">
        <v>2023</v>
      </c>
      <c r="U18" s="149" t="s">
        <v>737</v>
      </c>
      <c r="V18" s="149" t="s">
        <v>706</v>
      </c>
      <c r="W18" s="154">
        <v>3.0000000000000001E-6</v>
      </c>
    </row>
    <row r="19" spans="2:23" ht="21">
      <c r="P19" s="151" t="s">
        <v>738</v>
      </c>
      <c r="Q19" s="149" t="s">
        <v>734</v>
      </c>
      <c r="R19" s="149">
        <v>55</v>
      </c>
      <c r="S19" s="149">
        <f t="shared" ca="1" si="1"/>
        <v>7</v>
      </c>
      <c r="T19" s="149">
        <v>2017</v>
      </c>
      <c r="U19" s="149" t="s">
        <v>706</v>
      </c>
      <c r="V19" s="149" t="s">
        <v>706</v>
      </c>
      <c r="W19" s="156">
        <v>7.2000000000000002E-5</v>
      </c>
    </row>
    <row r="20" spans="2:23" ht="21">
      <c r="B20" s="93"/>
      <c r="C20" s="93"/>
      <c r="D20" s="337" t="s">
        <v>214</v>
      </c>
      <c r="E20" s="338"/>
      <c r="F20" s="338"/>
      <c r="G20" s="338"/>
      <c r="H20" s="339"/>
      <c r="P20" s="151" t="s">
        <v>739</v>
      </c>
      <c r="Q20" s="149" t="s">
        <v>734</v>
      </c>
      <c r="R20" s="149">
        <v>50</v>
      </c>
      <c r="S20" s="149">
        <f t="shared" ca="1" si="1"/>
        <v>0</v>
      </c>
      <c r="T20" s="149">
        <v>2024</v>
      </c>
      <c r="U20" s="149" t="s">
        <v>740</v>
      </c>
      <c r="V20" s="149" t="s">
        <v>706</v>
      </c>
      <c r="W20" s="154">
        <v>1.0000000000000001E-5</v>
      </c>
    </row>
    <row r="21" spans="2:23" ht="21">
      <c r="B21" s="93"/>
      <c r="C21" s="94"/>
      <c r="D21" s="106">
        <v>0.02</v>
      </c>
      <c r="E21" s="95">
        <v>2.2499999999999999E-2</v>
      </c>
      <c r="F21" s="95">
        <v>2.5000000000000001E-2</v>
      </c>
      <c r="G21" s="95">
        <v>2.75E-2</v>
      </c>
      <c r="H21" s="107">
        <v>0.03</v>
      </c>
      <c r="P21" s="151" t="s">
        <v>741</v>
      </c>
      <c r="Q21" s="149" t="s">
        <v>734</v>
      </c>
      <c r="R21" s="149">
        <v>56</v>
      </c>
      <c r="S21" s="149">
        <f t="shared" ca="1" si="1"/>
        <v>7</v>
      </c>
      <c r="T21" s="149">
        <v>2017</v>
      </c>
      <c r="U21" s="149" t="s">
        <v>706</v>
      </c>
      <c r="V21" s="149" t="s">
        <v>706</v>
      </c>
      <c r="W21" s="154">
        <v>1.0000000000000001E-5</v>
      </c>
    </row>
    <row r="22" spans="2:23" ht="21">
      <c r="B22" s="334" t="s">
        <v>43</v>
      </c>
      <c r="C22" s="164">
        <v>7.0000000000000007E-2</v>
      </c>
      <c r="D22" s="97">
        <v>107.50686044450151</v>
      </c>
      <c r="E22" s="97">
        <v>112.8706885666591</v>
      </c>
      <c r="F22" s="97">
        <v>118.83049759127861</v>
      </c>
      <c r="G22" s="97">
        <v>125.49146061879458</v>
      </c>
      <c r="H22" s="98">
        <v>132.98504402475001</v>
      </c>
      <c r="P22" s="151" t="s">
        <v>694</v>
      </c>
      <c r="Q22" s="149" t="s">
        <v>695</v>
      </c>
      <c r="R22" s="149">
        <v>56</v>
      </c>
      <c r="S22" s="149">
        <f t="shared" ca="1" si="1"/>
        <v>2</v>
      </c>
      <c r="T22" s="149">
        <v>2022</v>
      </c>
      <c r="U22" s="149" t="s">
        <v>696</v>
      </c>
      <c r="V22" s="149" t="s">
        <v>706</v>
      </c>
      <c r="W22" s="156">
        <v>1.46E-4</v>
      </c>
    </row>
    <row r="23" spans="2:23" ht="21">
      <c r="B23" s="334"/>
      <c r="C23" s="165">
        <v>7.4999999999999997E-2</v>
      </c>
      <c r="D23" s="163">
        <v>96.61729403538979</v>
      </c>
      <c r="E23" s="100">
        <v>100.94759147009216</v>
      </c>
      <c r="F23" s="100">
        <v>105.71091864826485</v>
      </c>
      <c r="G23" s="100">
        <v>110.97564868729781</v>
      </c>
      <c r="H23" s="101">
        <v>116.82534873066773</v>
      </c>
      <c r="P23" s="151" t="s">
        <v>742</v>
      </c>
      <c r="Q23" s="149" t="s">
        <v>734</v>
      </c>
      <c r="R23" s="149">
        <v>64</v>
      </c>
      <c r="S23" s="149">
        <f t="shared" ca="1" si="1"/>
        <v>0</v>
      </c>
      <c r="T23" s="149">
        <v>2024</v>
      </c>
      <c r="U23" s="149" t="s">
        <v>743</v>
      </c>
      <c r="V23" s="149" t="s">
        <v>706</v>
      </c>
      <c r="W23" s="154">
        <v>1.0000000000000001E-5</v>
      </c>
    </row>
    <row r="24" spans="2:23" ht="21">
      <c r="B24" s="334"/>
      <c r="C24" s="165">
        <v>7.8799999999999995E-2</v>
      </c>
      <c r="D24" s="163">
        <v>89.612492143112831</v>
      </c>
      <c r="E24" s="100">
        <v>93.336615907923189</v>
      </c>
      <c r="F24" s="102">
        <v>97.406847829314458</v>
      </c>
      <c r="G24" s="100">
        <v>101.87378851497388</v>
      </c>
      <c r="H24" s="101">
        <v>106.79840754957384</v>
      </c>
      <c r="P24" s="151" t="s">
        <v>744</v>
      </c>
      <c r="Q24" s="149" t="s">
        <v>734</v>
      </c>
      <c r="R24" s="149">
        <v>54</v>
      </c>
      <c r="S24" s="149">
        <f t="shared" ca="1" si="1"/>
        <v>0</v>
      </c>
      <c r="T24" s="149">
        <v>2024</v>
      </c>
      <c r="U24" s="149" t="s">
        <v>715</v>
      </c>
      <c r="V24" s="149" t="s">
        <v>706</v>
      </c>
      <c r="W24" s="154">
        <v>1.0000000000000001E-5</v>
      </c>
    </row>
    <row r="25" spans="2:23" ht="21">
      <c r="B25" s="334"/>
      <c r="C25" s="165">
        <v>0.08</v>
      </c>
      <c r="D25" s="163">
        <v>87.590402685374457</v>
      </c>
      <c r="E25" s="100">
        <v>91.148021888058622</v>
      </c>
      <c r="F25" s="100">
        <v>95.029061018259554</v>
      </c>
      <c r="G25" s="100">
        <v>99.27972292276533</v>
      </c>
      <c r="H25" s="101">
        <v>103.9554510177217</v>
      </c>
      <c r="P25" s="157" t="s">
        <v>745</v>
      </c>
      <c r="Q25" s="150" t="s">
        <v>734</v>
      </c>
      <c r="R25" s="150">
        <v>53</v>
      </c>
      <c r="S25" s="150">
        <f t="shared" ca="1" si="1"/>
        <v>1</v>
      </c>
      <c r="T25" s="150">
        <v>2023</v>
      </c>
      <c r="U25" s="150" t="s">
        <v>706</v>
      </c>
      <c r="V25" s="150" t="s">
        <v>706</v>
      </c>
      <c r="W25" s="158">
        <v>1.9999999999999999E-6</v>
      </c>
    </row>
    <row r="26" spans="2:23">
      <c r="B26" s="335"/>
      <c r="C26" s="166">
        <v>0.09</v>
      </c>
      <c r="D26" s="104">
        <v>73.522661409134457</v>
      </c>
      <c r="E26" s="104">
        <v>76.026266194671578</v>
      </c>
      <c r="F26" s="104">
        <v>78.722455963711539</v>
      </c>
      <c r="G26" s="104">
        <v>81.634340914274745</v>
      </c>
      <c r="H26" s="105">
        <v>84.788882944051508</v>
      </c>
    </row>
    <row r="33" spans="2:5">
      <c r="B33" s="120"/>
      <c r="C33" s="121" t="s">
        <v>38</v>
      </c>
      <c r="D33" s="121" t="s">
        <v>212</v>
      </c>
      <c r="E33" s="122" t="s">
        <v>40</v>
      </c>
    </row>
    <row r="34" spans="2:5">
      <c r="B34" s="123" t="s">
        <v>31</v>
      </c>
      <c r="C34" s="194">
        <v>71.010000000000005</v>
      </c>
      <c r="D34" s="194">
        <v>98.51</v>
      </c>
      <c r="E34" s="196">
        <v>123.55</v>
      </c>
    </row>
    <row r="35" spans="2:5">
      <c r="B35" s="129" t="s">
        <v>140</v>
      </c>
      <c r="C35" s="195">
        <v>76.650000000000006</v>
      </c>
      <c r="D35" s="195">
        <v>104.02</v>
      </c>
      <c r="E35" s="197">
        <v>129.94</v>
      </c>
    </row>
  </sheetData>
  <mergeCells count="5">
    <mergeCell ref="AE1:AF1"/>
    <mergeCell ref="D20:H20"/>
    <mergeCell ref="B22:B26"/>
    <mergeCell ref="P1:W1"/>
    <mergeCell ref="P13:W13"/>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10B5A-FED9-FF4C-805A-B57E055C0DB3}">
  <dimension ref="A1:D16"/>
  <sheetViews>
    <sheetView showGridLines="0" workbookViewId="0"/>
  </sheetViews>
  <sheetFormatPr baseColWidth="10" defaultColWidth="11" defaultRowHeight="16"/>
  <cols>
    <col min="1" max="1" width="42" customWidth="1"/>
    <col min="2" max="2" width="28.6640625" customWidth="1"/>
    <col min="3" max="3" width="26.5" customWidth="1"/>
    <col min="4" max="4" width="24.5" customWidth="1"/>
  </cols>
  <sheetData>
    <row r="1" spans="1:4">
      <c r="A1" s="172"/>
      <c r="B1" s="121" t="s">
        <v>38</v>
      </c>
      <c r="C1" s="121" t="s">
        <v>212</v>
      </c>
      <c r="D1" s="122" t="s">
        <v>40</v>
      </c>
    </row>
    <row r="2" spans="1:4">
      <c r="A2" s="123" t="s">
        <v>43</v>
      </c>
      <c r="B2" s="115">
        <v>8.0485630598429656E-2</v>
      </c>
      <c r="C2" s="115">
        <v>7.8804136760527999E-2</v>
      </c>
      <c r="D2" s="124">
        <v>7.7853671628641555E-2</v>
      </c>
    </row>
    <row r="3" spans="1:4">
      <c r="A3" s="123" t="s">
        <v>147</v>
      </c>
      <c r="B3" s="115">
        <v>0.1849055696114997</v>
      </c>
      <c r="C3" s="115">
        <v>0.1849055696114997</v>
      </c>
      <c r="D3" s="124">
        <v>0.1849055696114997</v>
      </c>
    </row>
    <row r="4" spans="1:4">
      <c r="A4" s="123" t="s">
        <v>148</v>
      </c>
      <c r="B4" s="115">
        <v>0.81509443038850027</v>
      </c>
      <c r="C4" s="115">
        <v>0.81509443038850027</v>
      </c>
      <c r="D4" s="124">
        <v>0.81509443038850027</v>
      </c>
    </row>
    <row r="5" spans="1:4">
      <c r="A5" s="123" t="s">
        <v>149</v>
      </c>
      <c r="B5" s="115">
        <v>4.3400000000000001E-2</v>
      </c>
      <c r="C5" s="115">
        <v>3.5000000000000003E-2</v>
      </c>
      <c r="D5" s="124">
        <v>0.03</v>
      </c>
    </row>
    <row r="6" spans="1:4">
      <c r="A6" s="123" t="s">
        <v>135</v>
      </c>
      <c r="B6" s="115">
        <v>0.94</v>
      </c>
      <c r="C6" s="115">
        <v>0.94</v>
      </c>
      <c r="D6" s="124">
        <v>0.94</v>
      </c>
    </row>
    <row r="7" spans="1:4">
      <c r="A7" s="123" t="s">
        <v>150</v>
      </c>
      <c r="B7" s="115">
        <v>9.3799999999999994E-2</v>
      </c>
      <c r="C7" s="115">
        <v>9.3799999999999994E-2</v>
      </c>
      <c r="D7" s="124">
        <v>9.3799999999999994E-2</v>
      </c>
    </row>
    <row r="8" spans="1:4">
      <c r="A8" s="123" t="s">
        <v>152</v>
      </c>
      <c r="B8" s="115">
        <v>0.23643532831040931</v>
      </c>
      <c r="C8" s="115">
        <v>0.23643532831040931</v>
      </c>
      <c r="D8" s="124">
        <v>0.23643532831040931</v>
      </c>
    </row>
    <row r="9" spans="1:4">
      <c r="A9" s="123" t="s">
        <v>153</v>
      </c>
      <c r="B9" s="134">
        <v>108440000</v>
      </c>
      <c r="C9" s="134">
        <v>108440000</v>
      </c>
      <c r="D9" s="133">
        <v>108440000</v>
      </c>
    </row>
    <row r="10" spans="1:4">
      <c r="A10" s="123" t="s">
        <v>84</v>
      </c>
      <c r="B10" s="134">
        <v>3127400</v>
      </c>
      <c r="C10" s="134">
        <v>3127400</v>
      </c>
      <c r="D10" s="133">
        <v>3127400</v>
      </c>
    </row>
    <row r="11" spans="1:4">
      <c r="A11" s="123" t="s">
        <v>154</v>
      </c>
      <c r="B11" s="134">
        <v>21472400</v>
      </c>
      <c r="C11" s="134">
        <v>21472400</v>
      </c>
      <c r="D11" s="133">
        <v>21472400</v>
      </c>
    </row>
    <row r="12" spans="1:4">
      <c r="A12" s="123" t="s">
        <v>88</v>
      </c>
      <c r="B12" s="134">
        <v>24599800</v>
      </c>
      <c r="C12" s="134">
        <v>24599800</v>
      </c>
      <c r="D12" s="133">
        <v>24599800</v>
      </c>
    </row>
    <row r="13" spans="1:4">
      <c r="A13" s="123" t="s">
        <v>155</v>
      </c>
      <c r="B13" s="116">
        <v>0</v>
      </c>
      <c r="C13" s="116">
        <v>0</v>
      </c>
      <c r="D13" s="128">
        <v>0</v>
      </c>
    </row>
    <row r="14" spans="1:4">
      <c r="A14" s="123" t="s">
        <v>156</v>
      </c>
      <c r="B14" s="134">
        <v>133039800</v>
      </c>
      <c r="C14" s="134">
        <v>133039800</v>
      </c>
      <c r="D14" s="133">
        <v>133039800</v>
      </c>
    </row>
    <row r="15" spans="1:4">
      <c r="A15" s="123" t="s">
        <v>157</v>
      </c>
      <c r="B15" s="115">
        <v>9.0775999999999996E-2</v>
      </c>
      <c r="C15" s="115">
        <v>9.0271999999999991E-2</v>
      </c>
      <c r="D15" s="124">
        <v>8.9971999999999996E-2</v>
      </c>
    </row>
    <row r="16" spans="1:4">
      <c r="A16" s="129" t="s">
        <v>213</v>
      </c>
      <c r="B16" s="130">
        <v>4.5999999999999999E-2</v>
      </c>
      <c r="C16" s="130">
        <v>3.6999999999999998E-2</v>
      </c>
      <c r="D16" s="131">
        <v>3.2000000000000001E-2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71500ba4-0473-4c4a-8a55-4525f6467d2b" xsi:nil="true"/>
    <lcf76f155ced4ddcb4097134ff3c332f xmlns="4edc746d-e0ee-4131-8e09-439e1dbc575b">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CE58EDE40BA3349BB5161FD08E196C2" ma:contentTypeVersion="10" ma:contentTypeDescription="Create a new document." ma:contentTypeScope="" ma:versionID="b7ed4f3eab490dcf99694a4d9371378b">
  <xsd:schema xmlns:xsd="http://www.w3.org/2001/XMLSchema" xmlns:xs="http://www.w3.org/2001/XMLSchema" xmlns:p="http://schemas.microsoft.com/office/2006/metadata/properties" xmlns:ns2="4edc746d-e0ee-4131-8e09-439e1dbc575b" xmlns:ns3="71500ba4-0473-4c4a-8a55-4525f6467d2b" targetNamespace="http://schemas.microsoft.com/office/2006/metadata/properties" ma:root="true" ma:fieldsID="99e3e3bd3c05aee0176a1306a46e753c" ns2:_="" ns3:_="">
    <xsd:import namespace="4edc746d-e0ee-4131-8e09-439e1dbc575b"/>
    <xsd:import namespace="71500ba4-0473-4c4a-8a55-4525f6467d2b"/>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edc746d-e0ee-4131-8e09-439e1dbc575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deec61d7-21c4-46ea-8069-5c692c33a4c8"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1500ba4-0473-4c4a-8a55-4525f6467d2b"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140d7ecf-59c5-4bda-b724-d9f4dc4d40b2}" ma:internalName="TaxCatchAll" ma:showField="CatchAllData" ma:web="71500ba4-0473-4c4a-8a55-4525f6467d2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6C34246-4772-4BEE-9411-AEAB64225C92}">
  <ds:schemaRefs>
    <ds:schemaRef ds:uri="http://schemas.microsoft.com/office/infopath/2007/PartnerControls"/>
    <ds:schemaRef ds:uri="http://schemas.microsoft.com/office/2006/metadata/properties"/>
    <ds:schemaRef ds:uri="http://purl.org/dc/terms/"/>
    <ds:schemaRef ds:uri="http://purl.org/dc/dcmitype/"/>
    <ds:schemaRef ds:uri="http://schemas.microsoft.com/office/2006/documentManagement/types"/>
    <ds:schemaRef ds:uri="http://purl.org/dc/elements/1.1/"/>
    <ds:schemaRef ds:uri="71500ba4-0473-4c4a-8a55-4525f6467d2b"/>
    <ds:schemaRef ds:uri="http://schemas.openxmlformats.org/package/2006/metadata/core-properties"/>
    <ds:schemaRef ds:uri="4edc746d-e0ee-4131-8e09-439e1dbc575b"/>
    <ds:schemaRef ds:uri="http://www.w3.org/XML/1998/namespace"/>
  </ds:schemaRefs>
</ds:datastoreItem>
</file>

<file path=customXml/itemProps2.xml><?xml version="1.0" encoding="utf-8"?>
<ds:datastoreItem xmlns:ds="http://schemas.openxmlformats.org/officeDocument/2006/customXml" ds:itemID="{24C52F77-7E05-4D74-9336-ED789F002B51}">
  <ds:schemaRefs>
    <ds:schemaRef ds:uri="http://schemas.microsoft.com/sharepoint/v3/contenttype/forms"/>
  </ds:schemaRefs>
</ds:datastoreItem>
</file>

<file path=customXml/itemProps3.xml><?xml version="1.0" encoding="utf-8"?>
<ds:datastoreItem xmlns:ds="http://schemas.openxmlformats.org/officeDocument/2006/customXml" ds:itemID="{B85A6258-0D3A-4317-A9C1-629D6874F9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edc746d-e0ee-4131-8e09-439e1dbc575b"/>
    <ds:schemaRef ds:uri="71500ba4-0473-4c4a-8a55-4525f6467d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c98a79ca-5a9a-4791-a243-f06afd67464d}" enabled="0" method="" siteId="{c98a79ca-5a9a-4791-a243-f06afd67464d}"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6</vt:i4>
      </vt:variant>
    </vt:vector>
  </HeadingPairs>
  <TitlesOfParts>
    <vt:vector size="24" baseType="lpstr">
      <vt:lpstr>PROFORMA</vt:lpstr>
      <vt:lpstr>Agenda</vt:lpstr>
      <vt:lpstr>FCFF</vt:lpstr>
      <vt:lpstr>Scenario Analysis</vt:lpstr>
      <vt:lpstr>Sheet3</vt:lpstr>
      <vt:lpstr>Sheet4</vt:lpstr>
      <vt:lpstr>FCFF with net income</vt:lpstr>
      <vt:lpstr>FCFF with net income (2)</vt:lpstr>
      <vt:lpstr>Sheet1 (2)</vt:lpstr>
      <vt:lpstr>Operating Rev</vt:lpstr>
      <vt:lpstr>WACC</vt:lpstr>
      <vt:lpstr>Sensitivity Analysis</vt:lpstr>
      <vt:lpstr>BS</vt:lpstr>
      <vt:lpstr>IS</vt:lpstr>
      <vt:lpstr>CF</vt:lpstr>
      <vt:lpstr>Valuation report table</vt:lpstr>
      <vt:lpstr>Appendix</vt:lpstr>
      <vt:lpstr>Sheet2</vt:lpstr>
      <vt:lpstr>'FCFF with net income'!tgr</vt:lpstr>
      <vt:lpstr>'FCFF with net income (2)'!tgr</vt:lpstr>
      <vt:lpstr>tgr</vt:lpstr>
      <vt:lpstr>'FCFF with net income'!wacc</vt:lpstr>
      <vt:lpstr>'FCFF with net income (2)'!wacc</vt:lpstr>
      <vt:lpstr>wacc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 Chihao</dc:creator>
  <cp:keywords/>
  <dc:description/>
  <cp:lastModifiedBy>MA Chihao</cp:lastModifiedBy>
  <cp:revision/>
  <dcterms:created xsi:type="dcterms:W3CDTF">2024-02-12T03:39:52Z</dcterms:created>
  <dcterms:modified xsi:type="dcterms:W3CDTF">2024-07-16T15:24:45Z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0x0101003CE58EDE40BA3349BB5161FD08E196C2</vt:lpwstr>
  </property>
  <property fmtid="{D5CDD505-2E9C-101B-9397-08002B2CF9AE}" pid="3" name="MediaServiceImageTags">
    <vt:lpwstr/>
  </property>
</Properties>
</file>