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allllllbadman/Desktop/"/>
    </mc:Choice>
  </mc:AlternateContent>
  <xr:revisionPtr revIDLastSave="0" documentId="13_ncr:1_{86A5CA37-8F8E-E64B-B79A-E867F72B65B8}" xr6:coauthVersionLast="47" xr6:coauthVersionMax="47" xr10:uidLastSave="{00000000-0000-0000-0000-000000000000}"/>
  <bookViews>
    <workbookView xWindow="740" yWindow="740" windowWidth="28500" windowHeight="17120" activeTab="1" xr2:uid="{00000000-000D-0000-FFFF-FFFF00000000}"/>
  </bookViews>
  <sheets>
    <sheet name="Income Statement" sheetId="3" r:id="rId1"/>
    <sheet name=" Working Capital - Fixed Assets" sheetId="1" r:id="rId2"/>
    <sheet name="Recent Balance Sheet" sheetId="15" r:id="rId3"/>
    <sheet name="Betas" sheetId="89" r:id="rId4"/>
    <sheet name="WACC" sheetId="12" r:id="rId5"/>
    <sheet name="DCFCF" sheetId="13" r:id="rId6"/>
    <sheet name="Market Approach" sheetId="87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44907.8891782407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' Working Capital - Fixed Assets'!$A$1:$M$30</definedName>
    <definedName name="_xlnm.Print_Area" localSheetId="5">DCFCF!$A$1:$H$30</definedName>
    <definedName name="_xlnm.Print_Area" localSheetId="0">'Income Statement'!$A$1:$M$30</definedName>
    <definedName name="_xlnm.Print_Area" localSheetId="6">'Market Approach'!$A$1:$F$21</definedName>
    <definedName name="_xlnm.Print_Area" localSheetId="2">'Recent Balance Sheet'!$A$1:$D$30</definedName>
    <definedName name="_xlnm.Print_Area" localSheetId="4">WACC!$A$1:$F$23</definedName>
    <definedName name="solver_adj" localSheetId="1" hidden="1">' Working Capital - Fixed Assets'!$P$45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' Working Capital - Fixed Assets'!$R$45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18000</definedName>
    <definedName name="solver_ver" localSheetId="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87" l="1"/>
  <c r="B28" i="87"/>
  <c r="C25" i="87"/>
  <c r="B25" i="87"/>
  <c r="C17" i="87"/>
  <c r="C20" i="87"/>
  <c r="C18" i="87"/>
  <c r="C19" i="87"/>
  <c r="C16" i="87"/>
  <c r="C15" i="87"/>
  <c r="Q43" i="1"/>
  <c r="H28" i="1"/>
  <c r="H30" i="1"/>
  <c r="I28" i="1"/>
  <c r="I16" i="3"/>
  <c r="J16" i="3"/>
  <c r="K16" i="3"/>
  <c r="L16" i="3"/>
  <c r="H16" i="3"/>
  <c r="I15" i="3"/>
  <c r="J15" i="3"/>
  <c r="K15" i="3"/>
  <c r="L15" i="3"/>
  <c r="H15" i="3"/>
  <c r="B20" i="87"/>
  <c r="B19" i="87"/>
  <c r="B18" i="87"/>
  <c r="B17" i="87"/>
  <c r="B16" i="87"/>
  <c r="B15" i="87"/>
  <c r="C33" i="13"/>
  <c r="C32" i="13"/>
  <c r="B14" i="12"/>
  <c r="C35" i="13" l="1"/>
  <c r="C34" i="13"/>
  <c r="B28" i="13"/>
  <c r="B27" i="13"/>
  <c r="B26" i="13"/>
  <c r="B25" i="13"/>
  <c r="H24" i="13"/>
  <c r="D24" i="13"/>
  <c r="E24" i="13"/>
  <c r="F24" i="13"/>
  <c r="G24" i="13"/>
  <c r="C24" i="13"/>
  <c r="H18" i="13" l="1"/>
  <c r="D23" i="13"/>
  <c r="E23" i="13"/>
  <c r="F23" i="13"/>
  <c r="G23" i="13"/>
  <c r="H23" i="13"/>
  <c r="C23" i="13"/>
  <c r="H20" i="13"/>
  <c r="H19" i="13"/>
  <c r="H15" i="13"/>
  <c r="M16" i="1"/>
  <c r="H16" i="13"/>
  <c r="H14" i="13"/>
  <c r="H12" i="13"/>
  <c r="H11" i="13"/>
  <c r="H10" i="13"/>
  <c r="H9" i="13"/>
  <c r="H8" i="13"/>
  <c r="M6" i="3"/>
  <c r="M7" i="3"/>
  <c r="M8" i="3"/>
  <c r="M10" i="3"/>
  <c r="M11" i="3"/>
  <c r="M12" i="3"/>
  <c r="M13" i="3"/>
  <c r="M14" i="3"/>
  <c r="M19" i="3"/>
  <c r="M20" i="3"/>
  <c r="M21" i="3"/>
  <c r="M22" i="3"/>
  <c r="M23" i="3"/>
  <c r="M24" i="3"/>
  <c r="M25" i="3"/>
  <c r="M26" i="3"/>
  <c r="H25" i="3"/>
  <c r="L7" i="3"/>
  <c r="L8" i="3"/>
  <c r="L10" i="3"/>
  <c r="L11" i="3"/>
  <c r="L12" i="3"/>
  <c r="G8" i="13" s="1"/>
  <c r="L13" i="3"/>
  <c r="G9" i="13" s="1"/>
  <c r="G14" i="13" s="1"/>
  <c r="L14" i="3"/>
  <c r="G10" i="13" s="1"/>
  <c r="L20" i="1"/>
  <c r="D16" i="13"/>
  <c r="E16" i="13"/>
  <c r="F16" i="13"/>
  <c r="G16" i="13"/>
  <c r="C16" i="13"/>
  <c r="I21" i="1"/>
  <c r="J21" i="1"/>
  <c r="K21" i="1"/>
  <c r="L21" i="1"/>
  <c r="H21" i="1"/>
  <c r="I22" i="1"/>
  <c r="J22" i="1" s="1"/>
  <c r="K22" i="1" s="1"/>
  <c r="L22" i="1" s="1"/>
  <c r="H22" i="1"/>
  <c r="H23" i="1"/>
  <c r="I20" i="1"/>
  <c r="J20" i="1"/>
  <c r="K20" i="1"/>
  <c r="H20" i="1"/>
  <c r="I19" i="1"/>
  <c r="J19" i="1"/>
  <c r="K19" i="1"/>
  <c r="L19" i="1"/>
  <c r="H19" i="1"/>
  <c r="H7" i="1"/>
  <c r="I7" i="1" s="1"/>
  <c r="J7" i="1" s="1"/>
  <c r="K7" i="1" s="1"/>
  <c r="L7" i="1" s="1"/>
  <c r="H8" i="1"/>
  <c r="I8" i="1"/>
  <c r="J8" i="1"/>
  <c r="K8" i="1" s="1"/>
  <c r="L8" i="1" s="1"/>
  <c r="H9" i="1"/>
  <c r="I9" i="1"/>
  <c r="J9" i="1"/>
  <c r="K9" i="1"/>
  <c r="L9" i="1"/>
  <c r="H10" i="1"/>
  <c r="I10" i="1" s="1"/>
  <c r="J10" i="1" s="1"/>
  <c r="K10" i="1" s="1"/>
  <c r="L10" i="1" s="1"/>
  <c r="H11" i="1"/>
  <c r="I11" i="1"/>
  <c r="J11" i="1"/>
  <c r="K11" i="1"/>
  <c r="L11" i="1" s="1"/>
  <c r="H12" i="1"/>
  <c r="I12" i="1"/>
  <c r="J12" i="1"/>
  <c r="K12" i="1"/>
  <c r="L12" i="1"/>
  <c r="H13" i="1"/>
  <c r="I13" i="1"/>
  <c r="J13" i="1" s="1"/>
  <c r="K13" i="1" s="1"/>
  <c r="L13" i="1" s="1"/>
  <c r="H15" i="1"/>
  <c r="I15" i="1"/>
  <c r="J15" i="1"/>
  <c r="K15" i="1"/>
  <c r="L15" i="1"/>
  <c r="H16" i="1"/>
  <c r="I16" i="1" s="1"/>
  <c r="I23" i="1"/>
  <c r="J23" i="1"/>
  <c r="K23" i="1"/>
  <c r="L23" i="1"/>
  <c r="H24" i="1"/>
  <c r="I24" i="1"/>
  <c r="J24" i="1" s="1"/>
  <c r="K24" i="1" s="1"/>
  <c r="L24" i="1" s="1"/>
  <c r="H25" i="1"/>
  <c r="I25" i="1"/>
  <c r="J25" i="1"/>
  <c r="K25" i="1"/>
  <c r="L25" i="1"/>
  <c r="C15" i="13"/>
  <c r="I6" i="1"/>
  <c r="J6" i="1" s="1"/>
  <c r="K6" i="1" s="1"/>
  <c r="L6" i="1" s="1"/>
  <c r="H6" i="1"/>
  <c r="T17" i="1"/>
  <c r="D14" i="13"/>
  <c r="E14" i="13"/>
  <c r="F14" i="13"/>
  <c r="C14" i="13"/>
  <c r="D12" i="13"/>
  <c r="E12" i="13"/>
  <c r="F12" i="13"/>
  <c r="C12" i="13"/>
  <c r="D11" i="13"/>
  <c r="E11" i="13"/>
  <c r="F11" i="13"/>
  <c r="C11" i="13"/>
  <c r="D10" i="13"/>
  <c r="E10" i="13"/>
  <c r="F10" i="13"/>
  <c r="C10" i="13"/>
  <c r="D9" i="13"/>
  <c r="E9" i="13"/>
  <c r="F9" i="13"/>
  <c r="C9" i="13"/>
  <c r="D8" i="13"/>
  <c r="E8" i="13"/>
  <c r="F8" i="13"/>
  <c r="C8" i="13"/>
  <c r="E23" i="12"/>
  <c r="E21" i="12"/>
  <c r="C21" i="12"/>
  <c r="C20" i="12"/>
  <c r="E20" i="12"/>
  <c r="I10" i="12"/>
  <c r="I11" i="12" s="1"/>
  <c r="I9" i="12"/>
  <c r="D21" i="12"/>
  <c r="D20" i="12"/>
  <c r="E17" i="12"/>
  <c r="B10" i="12"/>
  <c r="B6" i="12"/>
  <c r="L6" i="12"/>
  <c r="K6" i="12"/>
  <c r="J6" i="12"/>
  <c r="I6" i="12"/>
  <c r="B8" i="12"/>
  <c r="H9" i="89"/>
  <c r="H10" i="89"/>
  <c r="H8" i="89"/>
  <c r="C30" i="15"/>
  <c r="C31" i="15"/>
  <c r="G9" i="89"/>
  <c r="G8" i="89"/>
  <c r="E10" i="89"/>
  <c r="F10" i="89"/>
  <c r="D10" i="89"/>
  <c r="C10" i="89"/>
  <c r="B10" i="89"/>
  <c r="I30" i="1"/>
  <c r="J30" i="1"/>
  <c r="K30" i="1"/>
  <c r="I29" i="1"/>
  <c r="J29" i="1"/>
  <c r="K29" i="1"/>
  <c r="H29" i="1"/>
  <c r="K28" i="1"/>
  <c r="L28" i="1"/>
  <c r="Q44" i="1"/>
  <c r="Q45" i="1"/>
  <c r="R45" i="1" s="1"/>
  <c r="J28" i="1"/>
  <c r="P44" i="1"/>
  <c r="R44" i="1" s="1"/>
  <c r="P43" i="1"/>
  <c r="R43" i="1" s="1"/>
  <c r="R38" i="1"/>
  <c r="R39" i="1"/>
  <c r="R37" i="1"/>
  <c r="Q38" i="1"/>
  <c r="Q39" i="1"/>
  <c r="Q37" i="1"/>
  <c r="P38" i="1"/>
  <c r="P39" i="1"/>
  <c r="P37" i="1"/>
  <c r="C29" i="15"/>
  <c r="H24" i="3"/>
  <c r="H14" i="3"/>
  <c r="H13" i="3"/>
  <c r="I12" i="3"/>
  <c r="J12" i="3"/>
  <c r="K12" i="3"/>
  <c r="H12" i="3"/>
  <c r="H26" i="3"/>
  <c r="I25" i="3"/>
  <c r="J25" i="3"/>
  <c r="K25" i="3"/>
  <c r="L25" i="3"/>
  <c r="I11" i="3"/>
  <c r="J11" i="3"/>
  <c r="K11" i="3"/>
  <c r="H11" i="3"/>
  <c r="I10" i="3"/>
  <c r="J10" i="3"/>
  <c r="K10" i="3"/>
  <c r="H10" i="3"/>
  <c r="I22" i="3"/>
  <c r="J22" i="3"/>
  <c r="K22" i="3"/>
  <c r="L22" i="3"/>
  <c r="H22" i="3"/>
  <c r="I21" i="3"/>
  <c r="J21" i="3"/>
  <c r="K21" i="3" s="1"/>
  <c r="L21" i="3" s="1"/>
  <c r="H21" i="3"/>
  <c r="H8" i="3"/>
  <c r="H20" i="3"/>
  <c r="H7" i="3"/>
  <c r="I20" i="3"/>
  <c r="I7" i="3" s="1"/>
  <c r="J20" i="3"/>
  <c r="J7" i="3" s="1"/>
  <c r="K20" i="3"/>
  <c r="K7" i="3" s="1"/>
  <c r="L20" i="3"/>
  <c r="H23" i="3"/>
  <c r="I23" i="3" s="1"/>
  <c r="J23" i="3" s="1"/>
  <c r="K23" i="3" s="1"/>
  <c r="L23" i="3" s="1"/>
  <c r="I24" i="3"/>
  <c r="I26" i="3" s="1"/>
  <c r="J24" i="3"/>
  <c r="J26" i="3" s="1"/>
  <c r="K24" i="3"/>
  <c r="L24" i="3" s="1"/>
  <c r="L26" i="3" s="1"/>
  <c r="I19" i="3"/>
  <c r="J19" i="3" s="1"/>
  <c r="K19" i="3" s="1"/>
  <c r="L19" i="3" s="1"/>
  <c r="H19" i="3"/>
  <c r="T18" i="3"/>
  <c r="I6" i="3"/>
  <c r="H6" i="3"/>
  <c r="P8" i="1"/>
  <c r="Q8" i="1"/>
  <c r="R8" i="1"/>
  <c r="S8" i="1"/>
  <c r="P9" i="1"/>
  <c r="Q9" i="1"/>
  <c r="R9" i="1"/>
  <c r="S9" i="1"/>
  <c r="T9" i="1" s="1"/>
  <c r="P10" i="1"/>
  <c r="Q10" i="1"/>
  <c r="R10" i="1"/>
  <c r="S10" i="1"/>
  <c r="P12" i="1"/>
  <c r="Q12" i="1"/>
  <c r="R12" i="1"/>
  <c r="S12" i="1"/>
  <c r="P13" i="1"/>
  <c r="T13" i="1" s="1"/>
  <c r="Q13" i="1"/>
  <c r="R13" i="1"/>
  <c r="S13" i="1"/>
  <c r="P14" i="1"/>
  <c r="Q14" i="1"/>
  <c r="R14" i="1"/>
  <c r="S14" i="1"/>
  <c r="P16" i="1"/>
  <c r="Q16" i="1"/>
  <c r="R16" i="1"/>
  <c r="S16" i="1"/>
  <c r="Q17" i="1"/>
  <c r="R17" i="1"/>
  <c r="S17" i="1"/>
  <c r="P20" i="1"/>
  <c r="Q20" i="1"/>
  <c r="R20" i="1"/>
  <c r="S20" i="1"/>
  <c r="P21" i="1"/>
  <c r="T21" i="1" s="1"/>
  <c r="Q21" i="1"/>
  <c r="R21" i="1"/>
  <c r="S21" i="1"/>
  <c r="P22" i="1"/>
  <c r="Q22" i="1"/>
  <c r="R22" i="1"/>
  <c r="S22" i="1"/>
  <c r="P23" i="1"/>
  <c r="T23" i="1" s="1"/>
  <c r="Q23" i="1"/>
  <c r="R23" i="1"/>
  <c r="S23" i="1"/>
  <c r="P24" i="1"/>
  <c r="Q24" i="1"/>
  <c r="R24" i="1"/>
  <c r="S24" i="1"/>
  <c r="P25" i="1"/>
  <c r="Q25" i="1"/>
  <c r="R25" i="1"/>
  <c r="T25" i="1" s="1"/>
  <c r="S25" i="1"/>
  <c r="P26" i="1"/>
  <c r="Q26" i="1"/>
  <c r="R26" i="1"/>
  <c r="S26" i="1"/>
  <c r="P29" i="1"/>
  <c r="T29" i="1" s="1"/>
  <c r="Q29" i="1"/>
  <c r="R29" i="1"/>
  <c r="S29" i="1"/>
  <c r="P30" i="1"/>
  <c r="Q30" i="1"/>
  <c r="R30" i="1"/>
  <c r="S30" i="1"/>
  <c r="P31" i="1"/>
  <c r="T31" i="1" s="1"/>
  <c r="Q31" i="1"/>
  <c r="R31" i="1"/>
  <c r="S31" i="1"/>
  <c r="Q7" i="1"/>
  <c r="R7" i="1"/>
  <c r="S7" i="1"/>
  <c r="T12" i="1"/>
  <c r="T14" i="1"/>
  <c r="T16" i="1"/>
  <c r="T20" i="1"/>
  <c r="T22" i="1"/>
  <c r="T24" i="1"/>
  <c r="T26" i="1"/>
  <c r="T30" i="1"/>
  <c r="T8" i="1"/>
  <c r="T10" i="1"/>
  <c r="T7" i="1"/>
  <c r="P7" i="1"/>
  <c r="O30" i="1"/>
  <c r="Q6" i="1"/>
  <c r="R6" i="1" s="1"/>
  <c r="S6" i="1" s="1"/>
  <c r="T19" i="3"/>
  <c r="T20" i="3"/>
  <c r="T21" i="3"/>
  <c r="T22" i="3"/>
  <c r="T23" i="3"/>
  <c r="T24" i="3"/>
  <c r="T17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Q17" i="3"/>
  <c r="R17" i="3"/>
  <c r="S17" i="3"/>
  <c r="P17" i="3"/>
  <c r="R16" i="3"/>
  <c r="S16" i="3" s="1"/>
  <c r="Q16" i="3"/>
  <c r="T6" i="3"/>
  <c r="T7" i="3"/>
  <c r="T9" i="3"/>
  <c r="T10" i="3"/>
  <c r="T11" i="3"/>
  <c r="T12" i="3"/>
  <c r="T13" i="3"/>
  <c r="T5" i="3"/>
  <c r="Q6" i="3"/>
  <c r="R6" i="3"/>
  <c r="S6" i="3"/>
  <c r="P7" i="3"/>
  <c r="Q7" i="3"/>
  <c r="R7" i="3"/>
  <c r="S7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Q5" i="3"/>
  <c r="R5" i="3"/>
  <c r="S5" i="3"/>
  <c r="P5" i="3"/>
  <c r="R4" i="3"/>
  <c r="S4" i="3"/>
  <c r="Q4" i="3"/>
  <c r="A1" i="87"/>
  <c r="A3" i="87"/>
  <c r="A1" i="13"/>
  <c r="A3" i="13"/>
  <c r="C3" i="13"/>
  <c r="D3" i="13"/>
  <c r="E3" i="13"/>
  <c r="F3" i="13"/>
  <c r="G3" i="13"/>
  <c r="D4" i="13"/>
  <c r="A1" i="12"/>
  <c r="A3" i="12"/>
  <c r="A1" i="89"/>
  <c r="A3" i="89"/>
  <c r="A1" i="15"/>
  <c r="A3" i="15"/>
  <c r="C9" i="15"/>
  <c r="C14" i="15"/>
  <c r="C19" i="15"/>
  <c r="C23" i="15" s="1"/>
  <c r="C27" i="15" s="1"/>
  <c r="A1" i="1"/>
  <c r="A3" i="1"/>
  <c r="C3" i="1"/>
  <c r="D3" i="1"/>
  <c r="E3" i="1"/>
  <c r="F3" i="1"/>
  <c r="G3" i="1"/>
  <c r="I3" i="1"/>
  <c r="J3" i="1"/>
  <c r="K3" i="1"/>
  <c r="L3" i="1"/>
  <c r="C4" i="1"/>
  <c r="D4" i="1"/>
  <c r="E4" i="1"/>
  <c r="F4" i="1"/>
  <c r="G4" i="1"/>
  <c r="A29" i="1"/>
  <c r="H4" i="3"/>
  <c r="H4" i="1" s="1"/>
  <c r="I4" i="3"/>
  <c r="J4" i="3" s="1"/>
  <c r="L29" i="1" l="1"/>
  <c r="L30" i="1" s="1"/>
  <c r="G11" i="13"/>
  <c r="G12" i="13" s="1"/>
  <c r="D15" i="13"/>
  <c r="J16" i="1"/>
  <c r="K16" i="1" s="1"/>
  <c r="L16" i="1" s="1"/>
  <c r="G15" i="13" s="1"/>
  <c r="F15" i="13"/>
  <c r="E15" i="13"/>
  <c r="G10" i="89"/>
  <c r="I13" i="3"/>
  <c r="K26" i="3"/>
  <c r="J8" i="3"/>
  <c r="I8" i="3"/>
  <c r="J6" i="3"/>
  <c r="K6" i="3" s="1"/>
  <c r="L6" i="3" s="1"/>
  <c r="K4" i="3"/>
  <c r="J4" i="1"/>
  <c r="E4" i="13"/>
  <c r="C4" i="13"/>
  <c r="I4" i="1"/>
  <c r="I14" i="3" l="1"/>
  <c r="J13" i="3"/>
  <c r="K8" i="3"/>
  <c r="L4" i="3"/>
  <c r="K4" i="1"/>
  <c r="F4" i="13"/>
  <c r="K13" i="3" l="1"/>
  <c r="J14" i="3"/>
  <c r="G4" i="13"/>
  <c r="L4" i="1"/>
  <c r="K14" i="3" l="1"/>
</calcChain>
</file>

<file path=xl/sharedStrings.xml><?xml version="1.0" encoding="utf-8"?>
<sst xmlns="http://schemas.openxmlformats.org/spreadsheetml/2006/main" count="259" uniqueCount="159">
  <si>
    <t>NKK CORPORATION - VALUATION ANALYSIS</t>
  </si>
  <si>
    <t>Income Statement</t>
  </si>
  <si>
    <t>($000)</t>
  </si>
  <si>
    <t>Actual</t>
  </si>
  <si>
    <t>Projected</t>
  </si>
  <si>
    <t>For the year ended December 31</t>
  </si>
  <si>
    <t>Revenue</t>
  </si>
  <si>
    <t xml:space="preserve">  Growth rate</t>
  </si>
  <si>
    <t>n/a</t>
  </si>
  <si>
    <t>Cost of goods sold</t>
  </si>
  <si>
    <t>Gross profit</t>
  </si>
  <si>
    <t>SG&amp;A expenses</t>
  </si>
  <si>
    <t>EBITDA</t>
  </si>
  <si>
    <t>Depreciation</t>
  </si>
  <si>
    <t>EBIT</t>
  </si>
  <si>
    <t>Taxes</t>
  </si>
  <si>
    <t>NOPAT (Net Operating Profit After Tax)</t>
  </si>
  <si>
    <t>Common Size</t>
  </si>
  <si>
    <t>Revenue Growth Rate</t>
  </si>
  <si>
    <t>Cost of goods sold % of Revenue</t>
  </si>
  <si>
    <t>Gross profit % of Revenue</t>
  </si>
  <si>
    <t>SG&amp;A expenses % of Revenue</t>
  </si>
  <si>
    <t>Depreciation expense % Revenue</t>
  </si>
  <si>
    <t>EBITDA MARGIN</t>
  </si>
  <si>
    <t>EBIT MARGIN</t>
  </si>
  <si>
    <t>Income Tax Rate</t>
  </si>
  <si>
    <t>NOPAT MARGIN</t>
  </si>
  <si>
    <t/>
  </si>
  <si>
    <t>Working Capital - Capital Expenditures</t>
  </si>
  <si>
    <t>As of December 31</t>
  </si>
  <si>
    <t>Accounts receivable</t>
  </si>
  <si>
    <t>Inventory</t>
  </si>
  <si>
    <t>Other current</t>
  </si>
  <si>
    <t>Total Current Assets</t>
  </si>
  <si>
    <t>Accounts payable</t>
  </si>
  <si>
    <t>Accrued expenses</t>
  </si>
  <si>
    <t>Total Current Liabilities</t>
  </si>
  <si>
    <t>Net Working Capital</t>
  </si>
  <si>
    <t>Change NWC - (Increase)/Decrease</t>
  </si>
  <si>
    <t>Accounts receivable DSO</t>
  </si>
  <si>
    <t>Inventory turnover (Cogs)</t>
  </si>
  <si>
    <t>Other current assets as a % of Revenue</t>
  </si>
  <si>
    <t>Accounts Payable Days of COGS</t>
  </si>
  <si>
    <t>Accrued expenses as a % of COGS</t>
  </si>
  <si>
    <t>CAPX Statistics</t>
  </si>
  <si>
    <t>Capital Expenditures</t>
  </si>
  <si>
    <t>Capx / Depreciation</t>
  </si>
  <si>
    <t>Balance Sheet</t>
  </si>
  <si>
    <t>Recent Balance Sheet</t>
  </si>
  <si>
    <t>Cash</t>
  </si>
  <si>
    <t>Property, plant &amp; equipment - net</t>
  </si>
  <si>
    <t>Other long-term assets</t>
  </si>
  <si>
    <t>Total assets</t>
  </si>
  <si>
    <t>Current portion of debt</t>
  </si>
  <si>
    <t>Total current liabilities</t>
  </si>
  <si>
    <t>Long-term debt</t>
  </si>
  <si>
    <t>Other long-term liabilities</t>
  </si>
  <si>
    <t>Total liabilities</t>
  </si>
  <si>
    <t>Stockholders' equity</t>
  </si>
  <si>
    <t>Total liabilities and equity</t>
  </si>
  <si>
    <t>Risk Analysis</t>
  </si>
  <si>
    <t>Competitors (Capital IQ data)</t>
  </si>
  <si>
    <t>Post Holdings</t>
  </si>
  <si>
    <t>Lancaster Colony</t>
  </si>
  <si>
    <t>Flowers Foods</t>
  </si>
  <si>
    <t>Lamb Weston</t>
  </si>
  <si>
    <t>B&amp;G Foods</t>
  </si>
  <si>
    <t>Average</t>
  </si>
  <si>
    <t>Beta</t>
  </si>
  <si>
    <t>Equity %</t>
  </si>
  <si>
    <t>Debt %</t>
  </si>
  <si>
    <t>Weighted Cost of Capital</t>
  </si>
  <si>
    <t>COST OF EQUITY</t>
  </si>
  <si>
    <t>Risk-Free Rate (20 year U.S. Treasury)</t>
  </si>
  <si>
    <t>Equity Risk Premium</t>
  </si>
  <si>
    <t xml:space="preserve">Beta </t>
  </si>
  <si>
    <t>Size Risk Premium</t>
  </si>
  <si>
    <t>Add to CAPM result</t>
  </si>
  <si>
    <t>Cost of Equity</t>
  </si>
  <si>
    <t>Debt</t>
  </si>
  <si>
    <t>COST OF DEBT</t>
  </si>
  <si>
    <t>Outstanding</t>
  </si>
  <si>
    <t>Interest Rate</t>
  </si>
  <si>
    <t>Use the 10 year current market rate for "B" rated debt.</t>
  </si>
  <si>
    <t>Find on CAPIQ "Markets" "Corporate Yield Curve"</t>
  </si>
  <si>
    <t>Tax rate</t>
  </si>
  <si>
    <t>After-Tax Cost of Debt</t>
  </si>
  <si>
    <t>CAPITAL STRUCTURE</t>
  </si>
  <si>
    <t>% of Total (1)</t>
  </si>
  <si>
    <t>Cost</t>
  </si>
  <si>
    <t>Weighted</t>
  </si>
  <si>
    <t>Equity (1)</t>
  </si>
  <si>
    <t>Debt (1)</t>
  </si>
  <si>
    <t>Total Capitalization</t>
  </si>
  <si>
    <t>WACC</t>
  </si>
  <si>
    <t>Discounted Free Cash Flow Valuation</t>
  </si>
  <si>
    <t>Terminal</t>
  </si>
  <si>
    <t>Long-Term Growth Rate Assumption</t>
  </si>
  <si>
    <t>NOPAT</t>
  </si>
  <si>
    <t>Add: Depreciation</t>
  </si>
  <si>
    <t>Working Capital - (Increase)/Decrease</t>
  </si>
  <si>
    <t>CAPX</t>
  </si>
  <si>
    <t>Terminal FCF</t>
  </si>
  <si>
    <t>Long-Term Growth Rate</t>
  </si>
  <si>
    <t>Capitalization Rate</t>
  </si>
  <si>
    <t>Free Cash Flow</t>
  </si>
  <si>
    <t>VALUATION</t>
  </si>
  <si>
    <t>Less: Total Outstanding Debt</t>
  </si>
  <si>
    <t>(From Balance Sheet = Current &amp; Long-Term)</t>
  </si>
  <si>
    <t>Add: Cash</t>
  </si>
  <si>
    <t>(From Balance Sheet)</t>
  </si>
  <si>
    <t>EQUITY VALUE</t>
  </si>
  <si>
    <t>Market Multiple Approach</t>
  </si>
  <si>
    <t>Source from Capital IQ</t>
  </si>
  <si>
    <t>Multiples from CAPIQ</t>
  </si>
  <si>
    <t>LTM EBITDA</t>
  </si>
  <si>
    <t>NTM EBITDA</t>
  </si>
  <si>
    <t>VALUATION OF NKK</t>
  </si>
  <si>
    <t>NKK - EBITDA</t>
  </si>
  <si>
    <t>Selected multiple (from above)</t>
  </si>
  <si>
    <t>Less: debt</t>
  </si>
  <si>
    <t>Add: cash</t>
  </si>
  <si>
    <t>Equity Value</t>
  </si>
  <si>
    <t>LTM = Last 12 months</t>
  </si>
  <si>
    <t>NTM = Next 12 months</t>
  </si>
  <si>
    <t>% change every year</t>
  </si>
  <si>
    <t>Average increase (decrease) per year</t>
  </si>
  <si>
    <t>COMMON SIZE % change yearly</t>
  </si>
  <si>
    <t>Long Term Debt/E</t>
  </si>
  <si>
    <t>CAPX assumptions</t>
  </si>
  <si>
    <t>Lancaster</t>
  </si>
  <si>
    <t xml:space="preserve">Springfield </t>
  </si>
  <si>
    <t>Janesville</t>
  </si>
  <si>
    <t>% of Capex</t>
  </si>
  <si>
    <t>Total Capex yearly</t>
  </si>
  <si>
    <t>During Construction</t>
  </si>
  <si>
    <t>Cost per faiclity</t>
  </si>
  <si>
    <t>Cost Per facility</t>
  </si>
  <si>
    <t>Without Lancaster Co. and FF</t>
  </si>
  <si>
    <t xml:space="preserve"> </t>
  </si>
  <si>
    <t>Total Project Cost</t>
  </si>
  <si>
    <t>How will project be financed</t>
  </si>
  <si>
    <t>Debt Financing</t>
  </si>
  <si>
    <t>Equity Financing</t>
  </si>
  <si>
    <t>(1) From beta worksheet use average of three competitors</t>
  </si>
  <si>
    <t>Used Fama French 20 year AVG risk premium</t>
  </si>
  <si>
    <t>Assumed an additional $65 m to finance new facility</t>
  </si>
  <si>
    <t xml:space="preserve">Total Equity </t>
  </si>
  <si>
    <t>Total Debt</t>
  </si>
  <si>
    <t>Total Capital</t>
  </si>
  <si>
    <t>Federal Reserve Bank of St. Louis Projects Greal GDp growht of 1.8%, wanted to use Real gdp growth since prices have a high impac on sales in this industry</t>
  </si>
  <si>
    <t>Terminal Value</t>
  </si>
  <si>
    <t>FCF discounted</t>
  </si>
  <si>
    <t>Sum of PV of FCFs</t>
  </si>
  <si>
    <t>PV of Terminal Value</t>
  </si>
  <si>
    <t>Enterprise Value</t>
  </si>
  <si>
    <t>LTM</t>
  </si>
  <si>
    <t>NTM</t>
  </si>
  <si>
    <t>Average of 3 Valuation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</si>
</sst>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6" formatCode="_(* #,##0.0_);_(* \(#,##0.0\);_(* &quot;-&quot;?_);_(@_)"/>
    <numFmt numFmtId="167" formatCode="0.0%"/>
    <numFmt numFmtId="168" formatCode="_(* #,##0_);_(* \(#,##0\);_(* &quot;-&quot;??_);_(@_)"/>
    <numFmt numFmtId="169" formatCode="0.0"/>
    <numFmt numFmtId="170" formatCode="_(&quot;$&quot;* #,##0.0_);_(&quot;$&quot;* \(#,##0.0\);_(&quot;$&quot;* &quot;-&quot;?_);_(@_)"/>
    <numFmt numFmtId="171" formatCode="0.000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"/>
      <color indexed="9"/>
      <name val="Symbol"/>
      <family val="1"/>
      <charset val="2"/>
    </font>
    <font>
      <b/>
      <u/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singleAccounting"/>
      <sz val="1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1"/>
      <color indexed="9"/>
      <name val="Symbol"/>
      <family val="1"/>
      <charset val="2"/>
    </font>
    <font>
      <i/>
      <sz val="11"/>
      <color rgb="FFFF0000"/>
      <name val="Calibri"/>
      <family val="2"/>
      <scheme val="minor"/>
    </font>
    <font>
      <sz val="10"/>
      <name val="Arial"/>
      <family val="2"/>
    </font>
    <font>
      <sz val="1"/>
      <color indexed="9"/>
      <name val="Symbol"/>
      <family val="1"/>
      <charset val="2"/>
    </font>
    <font>
      <b/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singleAccounting"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8"/>
      <color rgb="FF0070C0"/>
      <name val="Arial"/>
      <family val="2"/>
    </font>
    <font>
      <sz val="10"/>
      <name val="Arial"/>
      <family val="2"/>
    </font>
    <font>
      <sz val="1"/>
      <color indexed="9"/>
      <name val="Symbol"/>
      <family val="1"/>
      <charset val="2"/>
    </font>
    <font>
      <b/>
      <u val="doubleAccounting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9" fillId="0" borderId="0" applyAlignment="0"/>
    <xf numFmtId="0" fontId="15" fillId="0" borderId="0" applyNumberFormat="0" applyFill="0" applyBorder="0" applyAlignment="0" applyProtection="0"/>
    <xf numFmtId="0" fontId="18" fillId="0" borderId="0"/>
    <xf numFmtId="0" fontId="19" fillId="0" borderId="0" applyAlignment="0"/>
    <xf numFmtId="0" fontId="21" fillId="0" borderId="0"/>
    <xf numFmtId="0" fontId="22" fillId="0" borderId="0" applyAlignment="0"/>
    <xf numFmtId="0" fontId="28" fillId="0" borderId="0"/>
    <xf numFmtId="0" fontId="29" fillId="0" borderId="0" applyAlignment="0"/>
  </cellStyleXfs>
  <cellXfs count="182">
    <xf numFmtId="0" fontId="0" fillId="0" borderId="0" xfId="0"/>
    <xf numFmtId="0" fontId="0" fillId="0" borderId="0" xfId="0" quotePrefix="1"/>
    <xf numFmtId="165" fontId="0" fillId="0" borderId="0" xfId="2" applyNumberFormat="1" applyFont="1"/>
    <xf numFmtId="164" fontId="0" fillId="0" borderId="0" xfId="1" applyNumberFormat="1" applyFont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165" fontId="0" fillId="0" borderId="0" xfId="2" applyNumberFormat="1" applyFont="1" applyBorder="1"/>
    <xf numFmtId="167" fontId="0" fillId="0" borderId="0" xfId="3" applyNumberFormat="1" applyFont="1" applyBorder="1"/>
    <xf numFmtId="0" fontId="2" fillId="0" borderId="2" xfId="0" applyFont="1" applyBorder="1"/>
    <xf numFmtId="0" fontId="0" fillId="0" borderId="4" xfId="0" applyBorder="1"/>
    <xf numFmtId="166" fontId="0" fillId="0" borderId="0" xfId="0" applyNumberFormat="1"/>
    <xf numFmtId="167" fontId="0" fillId="0" borderId="0" xfId="3" applyNumberFormat="1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7" xfId="0" applyBorder="1"/>
    <xf numFmtId="0" fontId="2" fillId="0" borderId="11" xfId="0" applyFont="1" applyBorder="1"/>
    <xf numFmtId="164" fontId="0" fillId="0" borderId="0" xfId="0" applyNumberFormat="1" applyAlignment="1">
      <alignment horizontal="right"/>
    </xf>
    <xf numFmtId="0" fontId="0" fillId="0" borderId="14" xfId="0" applyBorder="1"/>
    <xf numFmtId="165" fontId="0" fillId="0" borderId="14" xfId="2" applyNumberFormat="1" applyFont="1" applyBorder="1"/>
    <xf numFmtId="164" fontId="0" fillId="0" borderId="14" xfId="1" applyNumberFormat="1" applyFont="1" applyBorder="1"/>
    <xf numFmtId="164" fontId="0" fillId="0" borderId="14" xfId="0" applyNumberFormat="1" applyBorder="1"/>
    <xf numFmtId="165" fontId="0" fillId="0" borderId="0" xfId="2" applyNumberFormat="1" applyFont="1" applyBorder="1" applyAlignment="1">
      <alignment horizontal="right"/>
    </xf>
    <xf numFmtId="168" fontId="0" fillId="0" borderId="0" xfId="1" applyNumberFormat="1" applyFont="1" applyBorder="1"/>
    <xf numFmtId="9" fontId="0" fillId="0" borderId="6" xfId="3" applyFont="1" applyBorder="1"/>
    <xf numFmtId="0" fontId="6" fillId="0" borderId="0" xfId="0" applyFont="1" applyAlignment="1">
      <alignment horizontal="right"/>
    </xf>
    <xf numFmtId="0" fontId="4" fillId="0" borderId="11" xfId="0" applyFont="1" applyBorder="1"/>
    <xf numFmtId="167" fontId="0" fillId="0" borderId="6" xfId="3" applyNumberFormat="1" applyFont="1" applyBorder="1" applyAlignment="1">
      <alignment horizontal="right"/>
    </xf>
    <xf numFmtId="167" fontId="0" fillId="0" borderId="6" xfId="3" applyNumberFormat="1" applyFont="1" applyBorder="1"/>
    <xf numFmtId="164" fontId="11" fillId="0" borderId="0" xfId="1" applyNumberFormat="1" applyFont="1" applyBorder="1"/>
    <xf numFmtId="164" fontId="12" fillId="0" borderId="0" xfId="1" applyNumberFormat="1" applyFont="1" applyBorder="1"/>
    <xf numFmtId="166" fontId="13" fillId="0" borderId="0" xfId="0" applyNumberFormat="1" applyFont="1"/>
    <xf numFmtId="0" fontId="0" fillId="0" borderId="2" xfId="0" applyBorder="1"/>
    <xf numFmtId="0" fontId="0" fillId="0" borderId="3" xfId="0" applyBorder="1"/>
    <xf numFmtId="165" fontId="0" fillId="0" borderId="6" xfId="2" applyNumberFormat="1" applyFont="1" applyBorder="1" applyAlignment="1">
      <alignment horizontal="right"/>
    </xf>
    <xf numFmtId="164" fontId="0" fillId="0" borderId="6" xfId="1" applyNumberFormat="1" applyFont="1" applyBorder="1"/>
    <xf numFmtId="167" fontId="0" fillId="0" borderId="3" xfId="3" applyNumberFormat="1" applyFont="1" applyBorder="1"/>
    <xf numFmtId="0" fontId="3" fillId="0" borderId="3" xfId="0" applyFont="1" applyBorder="1"/>
    <xf numFmtId="0" fontId="14" fillId="0" borderId="3" xfId="0" applyFont="1" applyBorder="1"/>
    <xf numFmtId="164" fontId="11" fillId="0" borderId="14" xfId="1" applyNumberFormat="1" applyFont="1" applyBorder="1"/>
    <xf numFmtId="164" fontId="13" fillId="0" borderId="14" xfId="1" applyNumberFormat="1" applyFont="1" applyBorder="1"/>
    <xf numFmtId="165" fontId="13" fillId="0" borderId="14" xfId="2" applyNumberFormat="1" applyFont="1" applyBorder="1"/>
    <xf numFmtId="167" fontId="0" fillId="0" borderId="0" xfId="0" applyNumberFormat="1"/>
    <xf numFmtId="0" fontId="5" fillId="2" borderId="0" xfId="0" applyFont="1" applyFill="1"/>
    <xf numFmtId="0" fontId="0" fillId="2" borderId="0" xfId="0" applyFill="1"/>
    <xf numFmtId="0" fontId="0" fillId="2" borderId="0" xfId="0" quotePrefix="1" applyFill="1"/>
    <xf numFmtId="0" fontId="0" fillId="2" borderId="13" xfId="0" applyFill="1" applyBorder="1"/>
    <xf numFmtId="0" fontId="0" fillId="2" borderId="2" xfId="0" quotePrefix="1" applyFill="1" applyBorder="1"/>
    <xf numFmtId="0" fontId="5" fillId="2" borderId="3" xfId="0" quotePrefix="1" applyFont="1" applyFill="1" applyBorder="1" applyAlignment="1">
      <alignment horizontal="center"/>
    </xf>
    <xf numFmtId="0" fontId="0" fillId="2" borderId="4" xfId="0" applyFill="1" applyBorder="1"/>
    <xf numFmtId="0" fontId="2" fillId="2" borderId="0" xfId="0" applyFont="1" applyFill="1"/>
    <xf numFmtId="0" fontId="2" fillId="2" borderId="11" xfId="0" applyFont="1" applyFill="1" applyBorder="1"/>
    <xf numFmtId="0" fontId="2" fillId="2" borderId="0" xfId="0" quotePrefix="1" applyFont="1" applyFill="1" applyAlignment="1">
      <alignment horizontal="center"/>
    </xf>
    <xf numFmtId="0" fontId="0" fillId="2" borderId="12" xfId="0" applyFill="1" applyBorder="1"/>
    <xf numFmtId="0" fontId="5" fillId="2" borderId="0" xfId="0" quotePrefix="1" applyFont="1" applyFill="1"/>
    <xf numFmtId="0" fontId="5" fillId="2" borderId="2" xfId="0" quotePrefix="1" applyFont="1" applyFill="1" applyBorder="1"/>
    <xf numFmtId="0" fontId="5" fillId="2" borderId="3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1" xfId="0" applyFont="1" applyFill="1" applyBorder="1"/>
    <xf numFmtId="0" fontId="5" fillId="2" borderId="0" xfId="0" applyFont="1" applyFill="1" applyAlignment="1">
      <alignment horizontal="center"/>
    </xf>
    <xf numFmtId="0" fontId="10" fillId="2" borderId="1" xfId="0" quotePrefix="1" applyFont="1" applyFill="1" applyBorder="1" applyAlignment="1">
      <alignment horizontal="center"/>
    </xf>
    <xf numFmtId="167" fontId="17" fillId="0" borderId="0" xfId="3" applyNumberFormat="1" applyFont="1"/>
    <xf numFmtId="0" fontId="17" fillId="0" borderId="0" xfId="0" applyFont="1"/>
    <xf numFmtId="167" fontId="6" fillId="0" borderId="0" xfId="3" applyNumberFormat="1" applyFont="1" applyBorder="1" applyAlignment="1">
      <alignment horizontal="right"/>
    </xf>
    <xf numFmtId="0" fontId="20" fillId="0" borderId="0" xfId="0" applyFont="1"/>
    <xf numFmtId="0" fontId="14" fillId="2" borderId="3" xfId="0" quotePrefix="1" applyFont="1" applyFill="1" applyBorder="1" applyAlignment="1">
      <alignment horizontal="center"/>
    </xf>
    <xf numFmtId="0" fontId="23" fillId="0" borderId="0" xfId="0" quotePrefix="1" applyFont="1"/>
    <xf numFmtId="0" fontId="5" fillId="2" borderId="15" xfId="0" quotePrefix="1" applyFont="1" applyFill="1" applyBorder="1" applyAlignment="1">
      <alignment horizontal="center"/>
    </xf>
    <xf numFmtId="0" fontId="24" fillId="2" borderId="0" xfId="0" applyFont="1" applyFill="1"/>
    <xf numFmtId="164" fontId="0" fillId="3" borderId="0" xfId="1" applyNumberFormat="1" applyFont="1" applyFill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3" borderId="0" xfId="1" applyNumberFormat="1" applyFont="1" applyFill="1" applyBorder="1"/>
    <xf numFmtId="164" fontId="0" fillId="3" borderId="12" xfId="1" applyNumberFormat="1" applyFont="1" applyFill="1" applyBorder="1"/>
    <xf numFmtId="165" fontId="0" fillId="3" borderId="0" xfId="2" applyNumberFormat="1" applyFont="1" applyFill="1"/>
    <xf numFmtId="0" fontId="5" fillId="0" borderId="11" xfId="0" applyFont="1" applyBorder="1"/>
    <xf numFmtId="164" fontId="3" fillId="3" borderId="0" xfId="1" applyNumberFormat="1" applyFont="1" applyFill="1" applyBorder="1"/>
    <xf numFmtId="164" fontId="3" fillId="3" borderId="12" xfId="1" applyNumberFormat="1" applyFont="1" applyFill="1" applyBorder="1"/>
    <xf numFmtId="165" fontId="0" fillId="3" borderId="0" xfId="2" applyNumberFormat="1" applyFont="1" applyFill="1" applyBorder="1"/>
    <xf numFmtId="165" fontId="0" fillId="3" borderId="12" xfId="2" applyNumberFormat="1" applyFont="1" applyFill="1" applyBorder="1"/>
    <xf numFmtId="166" fontId="0" fillId="3" borderId="0" xfId="0" applyNumberFormat="1" applyFill="1"/>
    <xf numFmtId="166" fontId="0" fillId="3" borderId="12" xfId="0" applyNumberFormat="1" applyFill="1" applyBorder="1"/>
    <xf numFmtId="164" fontId="11" fillId="3" borderId="0" xfId="1" applyNumberFormat="1" applyFont="1" applyFill="1" applyBorder="1"/>
    <xf numFmtId="165" fontId="0" fillId="3" borderId="6" xfId="2" applyNumberFormat="1" applyFont="1" applyFill="1" applyBorder="1"/>
    <xf numFmtId="165" fontId="0" fillId="3" borderId="7" xfId="2" applyNumberFormat="1" applyFont="1" applyFill="1" applyBorder="1"/>
    <xf numFmtId="167" fontId="3" fillId="3" borderId="10" xfId="3" applyNumberFormat="1" applyFont="1" applyFill="1" applyBorder="1"/>
    <xf numFmtId="164" fontId="0" fillId="3" borderId="1" xfId="1" applyNumberFormat="1" applyFont="1" applyFill="1" applyBorder="1"/>
    <xf numFmtId="164" fontId="0" fillId="3" borderId="0" xfId="0" applyNumberFormat="1" applyFill="1"/>
    <xf numFmtId="167" fontId="0" fillId="3" borderId="0" xfId="3" applyNumberFormat="1" applyFont="1" applyFill="1"/>
    <xf numFmtId="167" fontId="0" fillId="3" borderId="0" xfId="0" applyNumberFormat="1" applyFill="1"/>
    <xf numFmtId="165" fontId="5" fillId="3" borderId="0" xfId="2" applyNumberFormat="1" applyFont="1" applyFill="1" applyBorder="1"/>
    <xf numFmtId="165" fontId="30" fillId="3" borderId="0" xfId="0" applyNumberFormat="1" applyFont="1" applyFill="1"/>
    <xf numFmtId="0" fontId="0" fillId="4" borderId="0" xfId="0" applyFill="1"/>
    <xf numFmtId="164" fontId="11" fillId="3" borderId="0" xfId="0" applyNumberFormat="1" applyFont="1" applyFill="1"/>
    <xf numFmtId="164" fontId="0" fillId="3" borderId="6" xfId="1" applyNumberFormat="1" applyFont="1" applyFill="1" applyBorder="1"/>
    <xf numFmtId="167" fontId="3" fillId="3" borderId="0" xfId="3" applyNumberFormat="1" applyFont="1" applyFill="1" applyBorder="1"/>
    <xf numFmtId="9" fontId="3" fillId="3" borderId="6" xfId="3" applyFont="1" applyFill="1" applyBorder="1"/>
    <xf numFmtId="167" fontId="6" fillId="3" borderId="0" xfId="3" applyNumberFormat="1" applyFont="1" applyFill="1" applyBorder="1"/>
    <xf numFmtId="165" fontId="13" fillId="3" borderId="0" xfId="2" applyNumberFormat="1" applyFont="1" applyFill="1" applyBorder="1"/>
    <xf numFmtId="167" fontId="0" fillId="3" borderId="0" xfId="3" applyNumberFormat="1" applyFont="1" applyFill="1" applyBorder="1"/>
    <xf numFmtId="167" fontId="0" fillId="3" borderId="6" xfId="3" applyNumberFormat="1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6" xfId="0" applyFill="1" applyBorder="1"/>
    <xf numFmtId="0" fontId="5" fillId="4" borderId="9" xfId="0" applyFont="1" applyFill="1" applyBorder="1"/>
    <xf numFmtId="165" fontId="3" fillId="4" borderId="0" xfId="2" applyNumberFormat="1" applyFont="1" applyFill="1" applyBorder="1"/>
    <xf numFmtId="164" fontId="25" fillId="4" borderId="0" xfId="1" applyNumberFormat="1" applyFont="1" applyFill="1" applyBorder="1"/>
    <xf numFmtId="165" fontId="13" fillId="4" borderId="0" xfId="2" applyNumberFormat="1" applyFont="1" applyFill="1" applyBorder="1"/>
    <xf numFmtId="0" fontId="5" fillId="4" borderId="9" xfId="0" applyFont="1" applyFill="1" applyBorder="1" applyAlignment="1">
      <alignment horizontal="right"/>
    </xf>
    <xf numFmtId="0" fontId="5" fillId="4" borderId="17" xfId="0" applyFont="1" applyFill="1" applyBorder="1"/>
    <xf numFmtId="0" fontId="0" fillId="4" borderId="3" xfId="0" applyFill="1" applyBorder="1"/>
    <xf numFmtId="0" fontId="0" fillId="4" borderId="4" xfId="0" applyFill="1" applyBorder="1"/>
    <xf numFmtId="167" fontId="3" fillId="4" borderId="0" xfId="3" applyNumberFormat="1" applyFont="1" applyFill="1" applyBorder="1"/>
    <xf numFmtId="167" fontId="17" fillId="4" borderId="12" xfId="3" applyNumberFormat="1" applyFont="1" applyFill="1" applyBorder="1"/>
    <xf numFmtId="0" fontId="3" fillId="4" borderId="0" xfId="0" applyFont="1" applyFill="1"/>
    <xf numFmtId="0" fontId="17" fillId="4" borderId="12" xfId="0" applyFont="1" applyFill="1" applyBorder="1"/>
    <xf numFmtId="167" fontId="0" fillId="4" borderId="0" xfId="0" applyNumberFormat="1" applyFill="1"/>
    <xf numFmtId="167" fontId="0" fillId="4" borderId="12" xfId="0" applyNumberFormat="1" applyFill="1" applyBorder="1"/>
    <xf numFmtId="0" fontId="5" fillId="4" borderId="11" xfId="0" applyFont="1" applyFill="1" applyBorder="1"/>
    <xf numFmtId="167" fontId="2" fillId="4" borderId="0" xfId="0" applyNumberFormat="1" applyFont="1" applyFill="1" applyAlignment="1">
      <alignment horizontal="center"/>
    </xf>
    <xf numFmtId="0" fontId="5" fillId="4" borderId="18" xfId="0" applyFont="1" applyFill="1" applyBorder="1"/>
    <xf numFmtId="167" fontId="2" fillId="4" borderId="0" xfId="0" applyNumberFormat="1" applyFont="1" applyFill="1" applyAlignment="1">
      <alignment horizontal="right"/>
    </xf>
    <xf numFmtId="167" fontId="2" fillId="4" borderId="12" xfId="0" applyNumberFormat="1" applyFont="1" applyFill="1" applyBorder="1" applyAlignment="1">
      <alignment horizontal="right"/>
    </xf>
    <xf numFmtId="0" fontId="8" fillId="4" borderId="11" xfId="4" applyFont="1" applyFill="1" applyBorder="1" applyAlignment="1">
      <alignment vertical="top" wrapText="1"/>
    </xf>
    <xf numFmtId="165" fontId="0" fillId="4" borderId="0" xfId="2" applyNumberFormat="1" applyFont="1" applyFill="1" applyBorder="1"/>
    <xf numFmtId="10" fontId="0" fillId="4" borderId="0" xfId="3" applyNumberFormat="1" applyFont="1" applyFill="1" applyBorder="1" applyAlignment="1">
      <alignment horizontal="right"/>
    </xf>
    <xf numFmtId="0" fontId="27" fillId="4" borderId="11" xfId="4" applyFont="1" applyFill="1" applyBorder="1" applyAlignment="1">
      <alignment vertical="top" wrapText="1"/>
    </xf>
    <xf numFmtId="167" fontId="13" fillId="4" borderId="0" xfId="3" applyNumberFormat="1" applyFont="1" applyFill="1" applyBorder="1"/>
    <xf numFmtId="167" fontId="0" fillId="4" borderId="0" xfId="0" applyNumberFormat="1" applyFill="1" applyAlignment="1">
      <alignment horizontal="right"/>
    </xf>
    <xf numFmtId="167" fontId="16" fillId="4" borderId="0" xfId="0" applyNumberFormat="1" applyFont="1" applyFill="1"/>
    <xf numFmtId="0" fontId="2" fillId="4" borderId="2" xfId="0" applyFont="1" applyFill="1" applyBorder="1"/>
    <xf numFmtId="167" fontId="0" fillId="3" borderId="8" xfId="0" applyNumberFormat="1" applyFill="1" applyBorder="1"/>
    <xf numFmtId="167" fontId="5" fillId="3" borderId="8" xfId="3" applyNumberFormat="1" applyFont="1" applyFill="1" applyBorder="1"/>
    <xf numFmtId="167" fontId="5" fillId="3" borderId="8" xfId="0" applyNumberFormat="1" applyFont="1" applyFill="1" applyBorder="1"/>
    <xf numFmtId="10" fontId="3" fillId="3" borderId="0" xfId="3" applyNumberFormat="1" applyFont="1" applyFill="1" applyBorder="1"/>
    <xf numFmtId="2" fontId="3" fillId="3" borderId="0" xfId="0" applyNumberFormat="1" applyFont="1" applyFill="1"/>
    <xf numFmtId="10" fontId="3" fillId="3" borderId="19" xfId="0" applyNumberFormat="1" applyFont="1" applyFill="1" applyBorder="1"/>
    <xf numFmtId="167" fontId="0" fillId="3" borderId="12" xfId="0" applyNumberFormat="1" applyFill="1" applyBorder="1"/>
    <xf numFmtId="167" fontId="26" fillId="3" borderId="0" xfId="3" applyNumberFormat="1" applyFont="1" applyFill="1" applyBorder="1"/>
    <xf numFmtId="164" fontId="0" fillId="3" borderId="7" xfId="1" applyNumberFormat="1" applyFont="1" applyFill="1" applyBorder="1"/>
    <xf numFmtId="43" fontId="0" fillId="4" borderId="0" xfId="1" applyFont="1" applyFill="1" applyBorder="1"/>
    <xf numFmtId="43" fontId="0" fillId="0" borderId="12" xfId="1" applyFont="1" applyBorder="1"/>
    <xf numFmtId="167" fontId="0" fillId="4" borderId="0" xfId="3" applyNumberFormat="1" applyFont="1" applyFill="1" applyBorder="1"/>
    <xf numFmtId="167" fontId="0" fillId="4" borderId="6" xfId="3" applyNumberFormat="1" applyFont="1" applyFill="1" applyBorder="1"/>
    <xf numFmtId="0" fontId="5" fillId="4" borderId="2" xfId="0" applyFont="1" applyFill="1" applyBorder="1"/>
    <xf numFmtId="167" fontId="3" fillId="0" borderId="0" xfId="3" applyNumberFormat="1" applyFont="1" applyFill="1" applyBorder="1"/>
    <xf numFmtId="167" fontId="17" fillId="0" borderId="12" xfId="3" applyNumberFormat="1" applyFont="1" applyFill="1" applyBorder="1"/>
    <xf numFmtId="0" fontId="0" fillId="0" borderId="11" xfId="0" quotePrefix="1" applyBorder="1"/>
    <xf numFmtId="9" fontId="0" fillId="0" borderId="0" xfId="3" applyFont="1"/>
    <xf numFmtId="167" fontId="0" fillId="0" borderId="0" xfId="3" applyNumberFormat="1" applyFont="1"/>
    <xf numFmtId="167" fontId="0" fillId="5" borderId="0" xfId="0" applyNumberFormat="1" applyFill="1"/>
    <xf numFmtId="167" fontId="0" fillId="5" borderId="0" xfId="3" applyNumberFormat="1" applyFont="1" applyFill="1"/>
    <xf numFmtId="0" fontId="0" fillId="0" borderId="6" xfId="0" applyBorder="1"/>
    <xf numFmtId="169" fontId="0" fillId="3" borderId="0" xfId="2" applyNumberFormat="1" applyFont="1" applyFill="1" applyBorder="1"/>
    <xf numFmtId="165" fontId="0" fillId="0" borderId="0" xfId="2" applyNumberFormat="1" applyFont="1" applyFill="1" applyBorder="1"/>
    <xf numFmtId="165" fontId="0" fillId="0" borderId="3" xfId="2" applyNumberFormat="1" applyFont="1" applyFill="1" applyBorder="1"/>
    <xf numFmtId="0" fontId="10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70" fontId="0" fillId="0" borderId="0" xfId="0" applyNumberFormat="1"/>
    <xf numFmtId="43" fontId="0" fillId="0" borderId="7" xfId="1" applyFont="1" applyBorder="1"/>
    <xf numFmtId="171" fontId="0" fillId="0" borderId="0" xfId="0" applyNumberFormat="1"/>
    <xf numFmtId="9" fontId="0" fillId="0" borderId="12" xfId="3" applyFont="1" applyBorder="1"/>
    <xf numFmtId="9" fontId="0" fillId="0" borderId="7" xfId="3" applyFont="1" applyBorder="1"/>
    <xf numFmtId="43" fontId="0" fillId="0" borderId="0" xfId="0" applyNumberFormat="1"/>
    <xf numFmtId="0" fontId="5" fillId="4" borderId="0" xfId="0" applyFont="1" applyFill="1"/>
    <xf numFmtId="9" fontId="17" fillId="0" borderId="0" xfId="0" applyNumberFormat="1" applyFont="1"/>
    <xf numFmtId="44" fontId="17" fillId="0" borderId="0" xfId="0" applyNumberFormat="1" applyFont="1"/>
    <xf numFmtId="167" fontId="31" fillId="4" borderId="0" xfId="6" applyNumberFormat="1" applyFont="1" applyFill="1" applyBorder="1"/>
    <xf numFmtId="167" fontId="31" fillId="4" borderId="0" xfId="0" applyNumberFormat="1" applyFont="1" applyFill="1"/>
    <xf numFmtId="0" fontId="32" fillId="0" borderId="0" xfId="0" applyFont="1"/>
    <xf numFmtId="44" fontId="0" fillId="0" borderId="0" xfId="0" applyNumberFormat="1"/>
    <xf numFmtId="0" fontId="31" fillId="0" borderId="0" xfId="0" applyFont="1"/>
    <xf numFmtId="44" fontId="0" fillId="0" borderId="0" xfId="2" applyFont="1" applyFill="1"/>
    <xf numFmtId="167" fontId="5" fillId="4" borderId="9" xfId="0" applyNumberFormat="1" applyFont="1" applyFill="1" applyBorder="1" applyAlignment="1">
      <alignment horizontal="right" wrapText="1"/>
    </xf>
    <xf numFmtId="167" fontId="5" fillId="4" borderId="16" xfId="0" applyNumberFormat="1" applyFont="1" applyFill="1" applyBorder="1" applyAlignment="1">
      <alignment horizontal="right" wrapText="1"/>
    </xf>
  </cellXfs>
  <cellStyles count="13">
    <cellStyle name="Comma" xfId="1" builtinId="3"/>
    <cellStyle name="Currency" xfId="2" builtinId="4"/>
    <cellStyle name="Hyperlink" xfId="6" builtinId="8"/>
    <cellStyle name="Invisible" xfId="5" xr:uid="{00000000-0005-0000-0000-000003000000}"/>
    <cellStyle name="Invisible 2" xfId="8" xr:uid="{00000000-0005-0000-0000-000004000000}"/>
    <cellStyle name="Invisible 3" xfId="10" xr:uid="{00000000-0005-0000-0000-000005000000}"/>
    <cellStyle name="Invisible 4" xfId="12" xr:uid="{00000000-0005-0000-0000-000006000000}"/>
    <cellStyle name="Normal" xfId="0" builtinId="0"/>
    <cellStyle name="Normal 2" xfId="4" xr:uid="{00000000-0005-0000-0000-000008000000}"/>
    <cellStyle name="Normal 3" xfId="7" xr:uid="{00000000-0005-0000-0000-000009000000}"/>
    <cellStyle name="Normal 4" xfId="9" xr:uid="{00000000-0005-0000-0000-00000A000000}"/>
    <cellStyle name="Normal 5" xfId="11" xr:uid="{00000000-0005-0000-0000-00000B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16</xdr:row>
      <xdr:rowOff>76200</xdr:rowOff>
    </xdr:from>
    <xdr:to>
      <xdr:col>23</xdr:col>
      <xdr:colOff>444500</xdr:colOff>
      <xdr:row>27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06F397-C9C9-C7C4-B885-CEF5C6C9ACAF}"/>
            </a:ext>
          </a:extLst>
        </xdr:cNvPr>
        <xdr:cNvSpPr txBox="1"/>
      </xdr:nvSpPr>
      <xdr:spPr>
        <a:xfrm>
          <a:off x="20713700" y="3429000"/>
          <a:ext cx="2273300" cy="212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could be helpful in indicating changes in funcamentals in company. There is a very very slight increase in investment into SG&amp;A. I do not deem this immaterials and will factors this .4% yealry increase into my assumptions. I also believe that increased effecinces in manufactrugn due to the closing of teh facility will reuslt in a 1.5% decrease in COGS as a % of sales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1"/>
  <sheetViews>
    <sheetView showGridLines="0" zoomScaleNormal="100" workbookViewId="0">
      <selection activeCell="F25" sqref="F25"/>
    </sheetView>
  </sheetViews>
  <sheetFormatPr baseColWidth="10" defaultColWidth="8.83203125" defaultRowHeight="15" x14ac:dyDescent="0.2"/>
  <cols>
    <col min="1" max="1" width="36.5" customWidth="1"/>
    <col min="2" max="2" width="2.5" customWidth="1"/>
    <col min="3" max="12" width="11.5" customWidth="1"/>
    <col min="13" max="13" width="11.1640625" bestFit="1" customWidth="1"/>
    <col min="14" max="14" width="13.6640625" customWidth="1"/>
    <col min="15" max="15" width="30.1640625" bestFit="1" customWidth="1"/>
    <col min="16" max="16" width="13.6640625" customWidth="1"/>
    <col min="20" max="20" width="27.83203125" bestFit="1" customWidth="1"/>
  </cols>
  <sheetData>
    <row r="1" spans="1:20" ht="20" customHeight="1" x14ac:dyDescent="0.25">
      <c r="A1" s="70" t="s">
        <v>0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0" ht="16" thickBot="1" x14ac:dyDescent="0.25">
      <c r="A2" s="45" t="s">
        <v>1</v>
      </c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20" x14ac:dyDescent="0.2">
      <c r="A3" s="56" t="s">
        <v>2</v>
      </c>
      <c r="B3" s="57"/>
      <c r="C3" s="58" t="s">
        <v>3</v>
      </c>
      <c r="D3" s="58" t="s">
        <v>3</v>
      </c>
      <c r="E3" s="58" t="s">
        <v>3</v>
      </c>
      <c r="F3" s="58" t="s">
        <v>3</v>
      </c>
      <c r="G3" s="58" t="s">
        <v>3</v>
      </c>
      <c r="H3" s="58" t="s">
        <v>4</v>
      </c>
      <c r="I3" s="58" t="s">
        <v>4</v>
      </c>
      <c r="J3" s="58" t="s">
        <v>4</v>
      </c>
      <c r="K3" s="58" t="s">
        <v>4</v>
      </c>
      <c r="L3" s="58" t="s">
        <v>4</v>
      </c>
      <c r="M3" s="51"/>
      <c r="O3" s="6" t="s">
        <v>125</v>
      </c>
    </row>
    <row r="4" spans="1:20" x14ac:dyDescent="0.2">
      <c r="A4" s="59" t="s">
        <v>5</v>
      </c>
      <c r="B4" s="60"/>
      <c r="C4" s="54">
        <v>2000</v>
      </c>
      <c r="D4" s="54">
        <v>2021</v>
      </c>
      <c r="E4" s="54">
        <v>2022</v>
      </c>
      <c r="F4" s="54">
        <v>2023</v>
      </c>
      <c r="G4" s="54">
        <v>2024</v>
      </c>
      <c r="H4" s="54">
        <f>+G4+1</f>
        <v>2025</v>
      </c>
      <c r="I4" s="54">
        <f>+H4+1</f>
        <v>2026</v>
      </c>
      <c r="J4" s="54">
        <f>+I4+1</f>
        <v>2027</v>
      </c>
      <c r="K4" s="54">
        <f>+J4+1</f>
        <v>2028</v>
      </c>
      <c r="L4" s="54">
        <f>+K4+1</f>
        <v>2029</v>
      </c>
      <c r="M4" s="55"/>
      <c r="P4">
        <v>2021</v>
      </c>
      <c r="Q4">
        <f>P4+1</f>
        <v>2022</v>
      </c>
      <c r="R4">
        <f>Q4+1</f>
        <v>2023</v>
      </c>
      <c r="S4">
        <f>R4+1</f>
        <v>2024</v>
      </c>
      <c r="T4" s="6" t="s">
        <v>126</v>
      </c>
    </row>
    <row r="5" spans="1:20" x14ac:dyDescent="0.2">
      <c r="B5" s="14"/>
      <c r="M5" s="15"/>
      <c r="O5" t="s">
        <v>6</v>
      </c>
      <c r="P5" s="154">
        <f>(D6-C6)/C6</f>
        <v>4.5454545454545456E-2</v>
      </c>
      <c r="Q5" s="154">
        <f>(E6-D6)/D6</f>
        <v>2.5075834175935289E-2</v>
      </c>
      <c r="R5" s="154">
        <f>(F6-E6)/E6</f>
        <v>1.1777470901558493E-2</v>
      </c>
      <c r="S5" s="154">
        <f>(G6-F6)/F6</f>
        <v>1.3765671612689375E-2</v>
      </c>
      <c r="T5" s="155">
        <f>AVERAGE(P5:S5)</f>
        <v>2.4018380536182153E-2</v>
      </c>
    </row>
    <row r="6" spans="1:20" x14ac:dyDescent="0.2">
      <c r="A6" t="s">
        <v>6</v>
      </c>
      <c r="B6" s="14"/>
      <c r="C6" s="8">
        <v>236500</v>
      </c>
      <c r="D6" s="8">
        <v>247250</v>
      </c>
      <c r="E6" s="8">
        <v>253450</v>
      </c>
      <c r="F6" s="8">
        <v>256435</v>
      </c>
      <c r="G6" s="8">
        <v>259965</v>
      </c>
      <c r="H6" s="80">
        <f t="shared" ref="H6:M6" si="0">G6*(1+G7)</f>
        <v>263543.59282079275</v>
      </c>
      <c r="I6" s="80">
        <f t="shared" si="0"/>
        <v>266192.11576163041</v>
      </c>
      <c r="J6" s="80">
        <f t="shared" si="0"/>
        <v>268145.10718764237</v>
      </c>
      <c r="K6" s="80">
        <f t="shared" si="0"/>
        <v>269581.35340246983</v>
      </c>
      <c r="L6" s="80">
        <f t="shared" si="0"/>
        <v>270635.50419921731</v>
      </c>
      <c r="M6" s="80">
        <f t="shared" si="0"/>
        <v>271408.09856043692</v>
      </c>
      <c r="O6" s="5" t="s">
        <v>7</v>
      </c>
      <c r="P6" s="154"/>
      <c r="Q6" s="154">
        <f t="shared" ref="Q6:Q13" si="1">(E7-D7)/D7</f>
        <v>-0.44833164812942078</v>
      </c>
      <c r="R6" s="154">
        <f t="shared" ref="R6:R13" si="2">(F7-E7)/E7</f>
        <v>-0.53032585799833198</v>
      </c>
      <c r="S6" s="154">
        <f t="shared" ref="S6:S13" si="3">(G7-F7)/F7</f>
        <v>0.1688138928764068</v>
      </c>
      <c r="T6" s="155">
        <f t="shared" ref="T6:T13" si="4">AVERAGE(P6:S6)</f>
        <v>-0.26994787108378199</v>
      </c>
    </row>
    <row r="7" spans="1:20" x14ac:dyDescent="0.2">
      <c r="A7" s="5" t="s">
        <v>7</v>
      </c>
      <c r="B7" s="28"/>
      <c r="C7" s="27" t="s">
        <v>8</v>
      </c>
      <c r="D7" s="65">
        <v>4.5454545454545414E-2</v>
      </c>
      <c r="E7" s="65">
        <v>2.5075834175935396E-2</v>
      </c>
      <c r="F7" s="65">
        <v>1.1777470901558562E-2</v>
      </c>
      <c r="G7" s="65">
        <v>1.3765671612689268E-2</v>
      </c>
      <c r="H7" s="99">
        <f t="shared" ref="H7:M7" si="5">H20</f>
        <v>1.0049657866805348E-2</v>
      </c>
      <c r="I7" s="99">
        <f t="shared" si="5"/>
        <v>7.3367741205408628E-3</v>
      </c>
      <c r="J7" s="99">
        <f t="shared" si="5"/>
        <v>5.3562275660782701E-3</v>
      </c>
      <c r="K7" s="99">
        <f t="shared" si="5"/>
        <v>3.9103253375751745E-3</v>
      </c>
      <c r="L7" s="99">
        <f t="shared" si="5"/>
        <v>2.8547413374517853E-3</v>
      </c>
      <c r="M7" s="99">
        <f t="shared" si="5"/>
        <v>2.0841099909118077E-3</v>
      </c>
      <c r="O7" t="s">
        <v>9</v>
      </c>
      <c r="P7" s="154">
        <f t="shared" ref="P7:P13" si="6">(D8-C8)/C8</f>
        <v>4.2145136755450834E-2</v>
      </c>
      <c r="Q7" s="154">
        <f t="shared" si="1"/>
        <v>2.7790497996565539E-2</v>
      </c>
      <c r="R7" s="154">
        <f t="shared" si="2"/>
        <v>1.723705828297736E-2</v>
      </c>
      <c r="S7" s="154">
        <f t="shared" si="3"/>
        <v>1.5603613468382151E-2</v>
      </c>
      <c r="T7" s="155">
        <f t="shared" si="4"/>
        <v>2.5694076625843974E-2</v>
      </c>
    </row>
    <row r="8" spans="1:20" ht="18" x14ac:dyDescent="0.35">
      <c r="A8" t="s">
        <v>9</v>
      </c>
      <c r="B8" s="14"/>
      <c r="C8" s="31">
        <v>167635</v>
      </c>
      <c r="D8" s="31">
        <v>174700</v>
      </c>
      <c r="E8" s="31">
        <v>179555</v>
      </c>
      <c r="F8" s="31">
        <v>182650</v>
      </c>
      <c r="G8" s="31">
        <v>185500</v>
      </c>
      <c r="H8" s="84">
        <f t="shared" ref="H8:M8" si="7">H21*H6</f>
        <v>184414.98027232697</v>
      </c>
      <c r="I8" s="84">
        <f t="shared" si="7"/>
        <v>182587.02146880334</v>
      </c>
      <c r="J8" s="84">
        <f t="shared" si="7"/>
        <v>180212.14260533251</v>
      </c>
      <c r="K8" s="84">
        <f t="shared" si="7"/>
        <v>177436.77828123525</v>
      </c>
      <c r="L8" s="84">
        <f t="shared" si="7"/>
        <v>174369.08289208202</v>
      </c>
      <c r="M8" s="84">
        <f t="shared" si="7"/>
        <v>171088.28162812153</v>
      </c>
      <c r="P8" s="154"/>
      <c r="Q8" s="154"/>
      <c r="R8" s="154"/>
      <c r="S8" s="154"/>
      <c r="T8" s="155"/>
    </row>
    <row r="9" spans="1:20" x14ac:dyDescent="0.2">
      <c r="B9" s="14"/>
      <c r="O9" t="s">
        <v>10</v>
      </c>
      <c r="P9" s="154">
        <f t="shared" si="6"/>
        <v>5.3510491541421623E-2</v>
      </c>
      <c r="Q9" s="154">
        <f t="shared" si="1"/>
        <v>1.8538938662991042E-2</v>
      </c>
      <c r="R9" s="154">
        <f t="shared" si="2"/>
        <v>-1.4885986873266121E-3</v>
      </c>
      <c r="S9" s="154">
        <f t="shared" si="3"/>
        <v>9.2159653046012067E-3</v>
      </c>
      <c r="T9" s="155">
        <f t="shared" si="4"/>
        <v>1.9944199205421818E-2</v>
      </c>
    </row>
    <row r="10" spans="1:20" x14ac:dyDescent="0.2">
      <c r="A10" t="s">
        <v>10</v>
      </c>
      <c r="B10" s="14"/>
      <c r="C10" s="12">
        <v>68865</v>
      </c>
      <c r="D10" s="12">
        <v>72550</v>
      </c>
      <c r="E10" s="12">
        <v>73895</v>
      </c>
      <c r="F10" s="12">
        <v>73785</v>
      </c>
      <c r="G10" s="12">
        <v>74465</v>
      </c>
      <c r="H10" s="82">
        <f t="shared" ref="H10:M10" si="8">H6-H8</f>
        <v>79128.612548465782</v>
      </c>
      <c r="I10" s="82">
        <f t="shared" si="8"/>
        <v>83605.094292827067</v>
      </c>
      <c r="J10" s="82">
        <f t="shared" si="8"/>
        <v>87932.964582309854</v>
      </c>
      <c r="K10" s="82">
        <f t="shared" si="8"/>
        <v>92144.575121234579</v>
      </c>
      <c r="L10" s="82">
        <f t="shared" si="8"/>
        <v>96266.421307135286</v>
      </c>
      <c r="M10" s="82">
        <f t="shared" si="8"/>
        <v>100319.81693231539</v>
      </c>
      <c r="O10" t="s">
        <v>11</v>
      </c>
      <c r="P10" s="154">
        <f t="shared" si="6"/>
        <v>3.6184210526315791E-2</v>
      </c>
      <c r="Q10" s="154">
        <f t="shared" si="1"/>
        <v>4.1269841269841269E-2</v>
      </c>
      <c r="R10" s="154">
        <f t="shared" si="2"/>
        <v>2.4390243902439025E-2</v>
      </c>
      <c r="S10" s="154">
        <f t="shared" si="3"/>
        <v>1.1160714285714286E-2</v>
      </c>
      <c r="T10" s="155">
        <f t="shared" si="4"/>
        <v>2.825125249607759E-2</v>
      </c>
    </row>
    <row r="11" spans="1:20" ht="18" x14ac:dyDescent="0.35">
      <c r="A11" t="s">
        <v>11</v>
      </c>
      <c r="B11" s="14"/>
      <c r="C11" s="31">
        <v>30400</v>
      </c>
      <c r="D11" s="31">
        <v>31500</v>
      </c>
      <c r="E11" s="31">
        <v>32800</v>
      </c>
      <c r="F11" s="31">
        <v>33600</v>
      </c>
      <c r="G11" s="31">
        <v>33975</v>
      </c>
      <c r="H11" s="84">
        <f t="shared" ref="H11:M11" si="9">H6*H23</f>
        <v>34587.580094289282</v>
      </c>
      <c r="I11" s="84">
        <f t="shared" si="9"/>
        <v>35082.136596712829</v>
      </c>
      <c r="J11" s="84">
        <f t="shared" si="9"/>
        <v>35488.190471596921</v>
      </c>
      <c r="K11" s="84">
        <f t="shared" si="9"/>
        <v>35828.362478835545</v>
      </c>
      <c r="L11" s="84">
        <f t="shared" si="9"/>
        <v>36119.772968083278</v>
      </c>
      <c r="M11" s="84">
        <f t="shared" si="9"/>
        <v>36375.265801954549</v>
      </c>
      <c r="O11" t="s">
        <v>12</v>
      </c>
      <c r="P11" s="154">
        <f t="shared" si="6"/>
        <v>6.7203951644352014E-2</v>
      </c>
      <c r="Q11" s="154">
        <f t="shared" si="1"/>
        <v>1.0962241169305725E-3</v>
      </c>
      <c r="R11" s="154">
        <f t="shared" si="2"/>
        <v>-2.2143813115950844E-2</v>
      </c>
      <c r="S11" s="154">
        <f t="shared" si="3"/>
        <v>7.58989672763469E-3</v>
      </c>
      <c r="T11" s="155">
        <f t="shared" si="4"/>
        <v>1.3436564843241607E-2</v>
      </c>
    </row>
    <row r="12" spans="1:20" x14ac:dyDescent="0.2">
      <c r="A12" t="s">
        <v>12</v>
      </c>
      <c r="B12" s="14"/>
      <c r="C12" s="3">
        <v>38465</v>
      </c>
      <c r="D12" s="3">
        <v>41050</v>
      </c>
      <c r="E12" s="3">
        <v>41095</v>
      </c>
      <c r="F12" s="3">
        <v>40185</v>
      </c>
      <c r="G12" s="3">
        <v>40490</v>
      </c>
      <c r="H12" s="74">
        <f t="shared" ref="H12:M12" si="10">H10-H11</f>
        <v>44541.0324541765</v>
      </c>
      <c r="I12" s="74">
        <f t="shared" si="10"/>
        <v>48522.957696114237</v>
      </c>
      <c r="J12" s="74">
        <f t="shared" si="10"/>
        <v>52444.774110712933</v>
      </c>
      <c r="K12" s="74">
        <f t="shared" si="10"/>
        <v>56316.212642399034</v>
      </c>
      <c r="L12" s="74">
        <f t="shared" si="10"/>
        <v>60146.648339052008</v>
      </c>
      <c r="M12" s="74">
        <f t="shared" si="10"/>
        <v>63944.551130360836</v>
      </c>
      <c r="O12" t="s">
        <v>13</v>
      </c>
      <c r="P12" s="154">
        <f t="shared" si="6"/>
        <v>1.4803849000740192E-2</v>
      </c>
      <c r="Q12" s="154">
        <f t="shared" si="1"/>
        <v>1.1670313639679067E-2</v>
      </c>
      <c r="R12" s="154">
        <f t="shared" si="2"/>
        <v>2.3792357606344627E-2</v>
      </c>
      <c r="S12" s="154">
        <f t="shared" si="3"/>
        <v>3.5211267605633804E-3</v>
      </c>
      <c r="T12" s="155">
        <f t="shared" si="4"/>
        <v>1.3446911751831816E-2</v>
      </c>
    </row>
    <row r="13" spans="1:20" ht="18" x14ac:dyDescent="0.35">
      <c r="A13" t="s">
        <v>13</v>
      </c>
      <c r="B13" s="14"/>
      <c r="C13" s="32">
        <v>6755</v>
      </c>
      <c r="D13" s="32">
        <v>6855</v>
      </c>
      <c r="E13" s="32">
        <v>6935</v>
      </c>
      <c r="F13" s="32">
        <v>7100</v>
      </c>
      <c r="G13" s="32">
        <v>7125</v>
      </c>
      <c r="H13" s="84">
        <f>(G13*2)/3</f>
        <v>4750</v>
      </c>
      <c r="I13" s="84">
        <f>H13*(1+I24)</f>
        <v>4877.5547559481802</v>
      </c>
      <c r="J13" s="84">
        <f>I13*(1+J24)</f>
        <v>5007.2045196720719</v>
      </c>
      <c r="K13" s="84">
        <f>J13*(1+K24)</f>
        <v>5138.9486989315119</v>
      </c>
      <c r="L13" s="84">
        <f>K13*(1+L24)</f>
        <v>5272.7859221391718</v>
      </c>
      <c r="M13" s="84">
        <f>L13*(1+M24)</f>
        <v>5408.714040160984</v>
      </c>
      <c r="O13" t="s">
        <v>14</v>
      </c>
      <c r="P13" s="154">
        <f t="shared" si="6"/>
        <v>7.8366445916114788E-2</v>
      </c>
      <c r="Q13" s="154">
        <f t="shared" si="1"/>
        <v>-1.0235414534288639E-3</v>
      </c>
      <c r="R13" s="154">
        <f t="shared" si="2"/>
        <v>-3.1469555035128806E-2</v>
      </c>
      <c r="S13" s="154">
        <f t="shared" si="3"/>
        <v>8.4630497204171082E-3</v>
      </c>
      <c r="T13" s="155">
        <f t="shared" si="4"/>
        <v>1.3584099786993556E-2</v>
      </c>
    </row>
    <row r="14" spans="1:20" ht="18" x14ac:dyDescent="0.35">
      <c r="A14" t="s">
        <v>14</v>
      </c>
      <c r="B14" s="14"/>
      <c r="C14" s="33">
        <v>31710</v>
      </c>
      <c r="D14" s="33">
        <v>34195</v>
      </c>
      <c r="E14" s="33">
        <v>34160</v>
      </c>
      <c r="F14" s="33">
        <v>33085</v>
      </c>
      <c r="G14" s="33">
        <v>33365</v>
      </c>
      <c r="H14" s="82">
        <f t="shared" ref="H14:M14" si="11">H12-H13</f>
        <v>39791.0324541765</v>
      </c>
      <c r="I14" s="82">
        <f t="shared" si="11"/>
        <v>43645.402940166059</v>
      </c>
      <c r="J14" s="82">
        <f t="shared" si="11"/>
        <v>47437.569591040861</v>
      </c>
      <c r="K14" s="82">
        <f t="shared" si="11"/>
        <v>51177.263943467522</v>
      </c>
      <c r="L14" s="82">
        <f t="shared" si="11"/>
        <v>54873.862416912838</v>
      </c>
      <c r="M14" s="82">
        <f t="shared" si="11"/>
        <v>58535.83709019985</v>
      </c>
      <c r="P14" s="154"/>
      <c r="Q14" s="154"/>
      <c r="R14" s="154"/>
      <c r="S14" s="154"/>
      <c r="T14" s="44"/>
    </row>
    <row r="15" spans="1:20" ht="18" x14ac:dyDescent="0.35">
      <c r="A15" t="s">
        <v>15</v>
      </c>
      <c r="B15" s="14"/>
      <c r="C15" s="19" t="s">
        <v>8</v>
      </c>
      <c r="D15" s="19" t="s">
        <v>8</v>
      </c>
      <c r="E15" s="19" t="s">
        <v>8</v>
      </c>
      <c r="F15" s="19" t="s">
        <v>8</v>
      </c>
      <c r="G15" s="19" t="s">
        <v>8</v>
      </c>
      <c r="H15" s="95">
        <f>0.25*H14</f>
        <v>9947.7581135441251</v>
      </c>
      <c r="I15" s="95">
        <f t="shared" ref="I15:L15" si="12">0.25*I14</f>
        <v>10911.350735041515</v>
      </c>
      <c r="J15" s="95">
        <f t="shared" si="12"/>
        <v>11859.392397760215</v>
      </c>
      <c r="K15" s="95">
        <f t="shared" si="12"/>
        <v>12794.315985866881</v>
      </c>
      <c r="L15" s="95">
        <f t="shared" si="12"/>
        <v>13718.465604228209</v>
      </c>
      <c r="M15" s="15"/>
      <c r="P15" s="154"/>
      <c r="Q15" s="154"/>
      <c r="R15" s="154"/>
      <c r="S15" s="154"/>
      <c r="T15" s="44"/>
    </row>
    <row r="16" spans="1:20" ht="18" x14ac:dyDescent="0.35">
      <c r="A16" t="s">
        <v>16</v>
      </c>
      <c r="B16" s="14"/>
      <c r="C16" s="19" t="s">
        <v>8</v>
      </c>
      <c r="D16" s="19" t="s">
        <v>8</v>
      </c>
      <c r="E16" s="19" t="s">
        <v>8</v>
      </c>
      <c r="F16" s="19" t="s">
        <v>8</v>
      </c>
      <c r="G16" s="19" t="s">
        <v>8</v>
      </c>
      <c r="H16" s="100">
        <f>H14-H15</f>
        <v>29843.274340632375</v>
      </c>
      <c r="I16" s="100">
        <f t="shared" ref="I16:L16" si="13">I14-I15</f>
        <v>32734.052205124543</v>
      </c>
      <c r="J16" s="100">
        <f t="shared" si="13"/>
        <v>35578.177193280644</v>
      </c>
      <c r="K16" s="100">
        <f t="shared" si="13"/>
        <v>38382.947957600642</v>
      </c>
      <c r="L16" s="100">
        <f t="shared" si="13"/>
        <v>41155.39681268463</v>
      </c>
      <c r="M16" s="15"/>
      <c r="O16" s="6" t="s">
        <v>127</v>
      </c>
      <c r="P16">
        <v>2021</v>
      </c>
      <c r="Q16">
        <f>P16+1</f>
        <v>2022</v>
      </c>
      <c r="R16">
        <f>Q16+1</f>
        <v>2023</v>
      </c>
      <c r="S16">
        <f>R16+1</f>
        <v>2024</v>
      </c>
      <c r="T16" s="6" t="s">
        <v>126</v>
      </c>
    </row>
    <row r="17" spans="1:20" x14ac:dyDescent="0.2">
      <c r="A17" s="68"/>
      <c r="B17" s="14"/>
      <c r="M17" s="15"/>
      <c r="O17" t="s">
        <v>6</v>
      </c>
      <c r="P17" s="44">
        <f>(D19-C19)/C19</f>
        <v>0</v>
      </c>
      <c r="Q17" s="44">
        <f>(E19-D19)/D19</f>
        <v>0</v>
      </c>
      <c r="R17" s="44">
        <f>(F19-E19)/E19</f>
        <v>0</v>
      </c>
      <c r="S17" s="44">
        <f>(G19-F19)/F19</f>
        <v>0</v>
      </c>
      <c r="T17" s="155">
        <f>AVERAGE(P17:S17)</f>
        <v>0</v>
      </c>
    </row>
    <row r="18" spans="1:20" x14ac:dyDescent="0.2">
      <c r="A18" s="4" t="s">
        <v>17</v>
      </c>
      <c r="B18" s="18"/>
      <c r="H18" s="4"/>
      <c r="M18" s="15"/>
      <c r="O18" t="s">
        <v>18</v>
      </c>
      <c r="P18" s="44"/>
      <c r="Q18" s="44">
        <f t="shared" ref="Q18:Q24" si="14">(E20-D20)/D20</f>
        <v>-0.44833164812942078</v>
      </c>
      <c r="R18" s="44">
        <f t="shared" ref="R18:R24" si="15">(F20-E20)/E20</f>
        <v>-0.53032585799833198</v>
      </c>
      <c r="S18" s="44">
        <f t="shared" ref="S18:S24" si="16">(G20-F20)/F20</f>
        <v>0.1688138928764068</v>
      </c>
      <c r="T18" s="155">
        <f>AVERAGE(P18:S18)</f>
        <v>-0.26994787108378199</v>
      </c>
    </row>
    <row r="19" spans="1:20" x14ac:dyDescent="0.2">
      <c r="A19" t="s">
        <v>6</v>
      </c>
      <c r="B19" s="14"/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101">
        <f t="shared" ref="H19:M20" si="17">G19*(1+$T17)</f>
        <v>1</v>
      </c>
      <c r="I19" s="101">
        <f t="shared" si="17"/>
        <v>1</v>
      </c>
      <c r="J19" s="101">
        <f t="shared" si="17"/>
        <v>1</v>
      </c>
      <c r="K19" s="101">
        <f t="shared" si="17"/>
        <v>1</v>
      </c>
      <c r="L19" s="101">
        <f t="shared" si="17"/>
        <v>1</v>
      </c>
      <c r="M19" s="101">
        <f t="shared" si="17"/>
        <v>1</v>
      </c>
      <c r="O19" t="s">
        <v>19</v>
      </c>
      <c r="P19" s="44">
        <f t="shared" ref="P19:P24" si="18">(D21-C21)/C21</f>
        <v>-3.165521364351347E-3</v>
      </c>
      <c r="Q19" s="44">
        <f t="shared" si="14"/>
        <v>2.6482565778292583E-3</v>
      </c>
      <c r="R19" s="44">
        <f t="shared" si="15"/>
        <v>5.3960357276526226E-3</v>
      </c>
      <c r="S19" s="44">
        <f t="shared" si="16"/>
        <v>1.8129849009080388E-3</v>
      </c>
      <c r="T19" s="155">
        <f t="shared" ref="T19:T24" si="19">AVERAGE(P19:S19)</f>
        <v>1.6729389605096433E-3</v>
      </c>
    </row>
    <row r="20" spans="1:20" x14ac:dyDescent="0.2">
      <c r="A20" t="s">
        <v>18</v>
      </c>
      <c r="B20" s="14"/>
      <c r="C20" s="13" t="s">
        <v>8</v>
      </c>
      <c r="D20" s="13">
        <v>4.5454545454545414E-2</v>
      </c>
      <c r="E20" s="13">
        <v>2.5075834175935396E-2</v>
      </c>
      <c r="F20" s="13">
        <v>1.1777470901558562E-2</v>
      </c>
      <c r="G20" s="13">
        <v>1.3765671612689268E-2</v>
      </c>
      <c r="H20" s="101">
        <f t="shared" si="17"/>
        <v>1.0049657866805348E-2</v>
      </c>
      <c r="I20" s="101">
        <f t="shared" si="17"/>
        <v>7.3367741205408628E-3</v>
      </c>
      <c r="J20" s="101">
        <f t="shared" si="17"/>
        <v>5.3562275660782701E-3</v>
      </c>
      <c r="K20" s="101">
        <f t="shared" si="17"/>
        <v>3.9103253375751745E-3</v>
      </c>
      <c r="L20" s="101">
        <f t="shared" si="17"/>
        <v>2.8547413374517853E-3</v>
      </c>
      <c r="M20" s="101">
        <f t="shared" si="17"/>
        <v>2.0841099909118077E-3</v>
      </c>
      <c r="O20" t="s">
        <v>20</v>
      </c>
      <c r="P20" s="44">
        <f t="shared" si="18"/>
        <v>7.7056875613597349E-3</v>
      </c>
      <c r="Q20" s="44">
        <f t="shared" si="14"/>
        <v>-6.376987238411738E-3</v>
      </c>
      <c r="R20" s="44">
        <f t="shared" si="15"/>
        <v>-1.3111647541493562E-2</v>
      </c>
      <c r="S20" s="44">
        <f t="shared" si="16"/>
        <v>-4.487926979072349E-3</v>
      </c>
      <c r="T20" s="155">
        <f t="shared" si="19"/>
        <v>-4.0677185494044782E-3</v>
      </c>
    </row>
    <row r="21" spans="1:20" x14ac:dyDescent="0.2">
      <c r="A21" t="s">
        <v>19</v>
      </c>
      <c r="B21" s="14"/>
      <c r="C21" s="9">
        <v>0.70881606765327698</v>
      </c>
      <c r="D21" s="9">
        <v>0.70657229524772502</v>
      </c>
      <c r="E21" s="9">
        <v>0.70844347997632673</v>
      </c>
      <c r="F21" s="9">
        <v>0.71226626630530154</v>
      </c>
      <c r="G21" s="9">
        <v>0.7135575942915392</v>
      </c>
      <c r="H21" s="101">
        <f t="shared" ref="H21:M21" si="20">(G21*(1+$T19))-0.015</f>
        <v>0.69975133259159705</v>
      </c>
      <c r="I21" s="101">
        <f t="shared" si="20"/>
        <v>0.68592197385855813</v>
      </c>
      <c r="J21" s="101">
        <f t="shared" si="20"/>
        <v>0.67206947945249584</v>
      </c>
      <c r="K21" s="101">
        <f t="shared" si="20"/>
        <v>0.65819381066884142</v>
      </c>
      <c r="L21" s="101">
        <f t="shared" si="20"/>
        <v>0.64429492873827565</v>
      </c>
      <c r="M21" s="101">
        <f t="shared" si="20"/>
        <v>0.63037279482662067</v>
      </c>
      <c r="O21" t="s">
        <v>21</v>
      </c>
      <c r="P21" s="44">
        <f t="shared" si="18"/>
        <v>-8.8672768878718528E-3</v>
      </c>
      <c r="Q21" s="44">
        <f t="shared" si="14"/>
        <v>1.579786251319101E-2</v>
      </c>
      <c r="R21" s="44">
        <f t="shared" si="15"/>
        <v>1.2465955571872599E-2</v>
      </c>
      <c r="S21" s="44">
        <f t="shared" si="16"/>
        <v>-2.5695852601035868E-3</v>
      </c>
      <c r="T21" s="155">
        <f t="shared" si="19"/>
        <v>4.2067389842720421E-3</v>
      </c>
    </row>
    <row r="22" spans="1:20" x14ac:dyDescent="0.2">
      <c r="A22" t="s">
        <v>20</v>
      </c>
      <c r="B22" s="14"/>
      <c r="C22" s="9">
        <v>0.29118393234672302</v>
      </c>
      <c r="D22" s="9">
        <v>0.29342770475227498</v>
      </c>
      <c r="E22" s="9">
        <v>0.29155652002367327</v>
      </c>
      <c r="F22" s="9">
        <v>0.28773373369469846</v>
      </c>
      <c r="G22" s="9">
        <v>0.2864424057084608</v>
      </c>
      <c r="H22" s="101">
        <f t="shared" ref="H22:M22" si="21">1-H21</f>
        <v>0.30024866740840295</v>
      </c>
      <c r="I22" s="101">
        <f t="shared" si="21"/>
        <v>0.31407802614144187</v>
      </c>
      <c r="J22" s="101">
        <f t="shared" si="21"/>
        <v>0.32793052054750416</v>
      </c>
      <c r="K22" s="101">
        <f t="shared" si="21"/>
        <v>0.34180618933115858</v>
      </c>
      <c r="L22" s="101">
        <f t="shared" si="21"/>
        <v>0.35570507126172435</v>
      </c>
      <c r="M22" s="101">
        <f t="shared" si="21"/>
        <v>0.36962720517337933</v>
      </c>
      <c r="O22" t="s">
        <v>22</v>
      </c>
      <c r="P22" s="44">
        <f t="shared" si="18"/>
        <v>-2.9318057477552943E-2</v>
      </c>
      <c r="Q22" s="44">
        <f t="shared" si="14"/>
        <v>-1.3077589081039035E-2</v>
      </c>
      <c r="R22" s="44">
        <f t="shared" si="15"/>
        <v>1.1875028897490836E-2</v>
      </c>
      <c r="S22" s="44">
        <f t="shared" si="16"/>
        <v>-1.0105436728617053E-2</v>
      </c>
      <c r="T22" s="155">
        <f t="shared" si="19"/>
        <v>-1.0156513597429549E-2</v>
      </c>
    </row>
    <row r="23" spans="1:20" x14ac:dyDescent="0.2">
      <c r="A23" t="s">
        <v>21</v>
      </c>
      <c r="B23" s="14"/>
      <c r="C23" s="9">
        <v>0.12854122621564482</v>
      </c>
      <c r="D23" s="9">
        <v>0.12740141557128412</v>
      </c>
      <c r="E23" s="9">
        <v>0.12941408561846518</v>
      </c>
      <c r="F23" s="9">
        <v>0.13102735586015948</v>
      </c>
      <c r="G23" s="9">
        <v>0.13069066989787087</v>
      </c>
      <c r="H23" s="101">
        <f t="shared" ref="H23:M24" si="22">G23*(1+$T21)</f>
        <v>0.13124045143381088</v>
      </c>
      <c r="I23" s="101">
        <f t="shared" si="22"/>
        <v>0.13179254575717098</v>
      </c>
      <c r="J23" s="101">
        <f t="shared" si="22"/>
        <v>0.13234696259724413</v>
      </c>
      <c r="K23" s="101">
        <f t="shared" si="22"/>
        <v>0.13290371172425197</v>
      </c>
      <c r="L23" s="101">
        <f t="shared" si="22"/>
        <v>0.13346280294951685</v>
      </c>
      <c r="M23" s="101">
        <f t="shared" si="22"/>
        <v>0.13402424612563482</v>
      </c>
      <c r="O23" t="s">
        <v>23</v>
      </c>
      <c r="P23" s="44">
        <f t="shared" si="18"/>
        <v>2.0803779833728036E-2</v>
      </c>
      <c r="Q23" s="44">
        <f t="shared" si="14"/>
        <v>-2.3393010799325095E-2</v>
      </c>
      <c r="R23" s="44">
        <f t="shared" si="15"/>
        <v>-3.3526427493274003E-2</v>
      </c>
      <c r="S23" s="44">
        <f t="shared" si="16"/>
        <v>-6.0919155757468459E-3</v>
      </c>
      <c r="T23" s="155">
        <f t="shared" si="19"/>
        <v>-1.0551893508654476E-2</v>
      </c>
    </row>
    <row r="24" spans="1:20" x14ac:dyDescent="0.2">
      <c r="A24" t="s">
        <v>22</v>
      </c>
      <c r="B24" s="14"/>
      <c r="C24" s="9">
        <v>2.8562367864693447E-2</v>
      </c>
      <c r="D24" s="9">
        <v>2.7724974721941353E-2</v>
      </c>
      <c r="E24" s="9">
        <v>2.736239889524561E-2</v>
      </c>
      <c r="F24" s="9">
        <v>2.7687328172831323E-2</v>
      </c>
      <c r="G24" s="9">
        <v>2.7407535629796319E-2</v>
      </c>
      <c r="H24" s="101">
        <f t="shared" si="22"/>
        <v>2.7129170621500259E-2</v>
      </c>
      <c r="I24" s="101">
        <f t="shared" si="22"/>
        <v>2.6853632831196007E-2</v>
      </c>
      <c r="J24" s="101">
        <f t="shared" si="22"/>
        <v>2.6580893544205585E-2</v>
      </c>
      <c r="K24" s="101">
        <f t="shared" si="22"/>
        <v>2.6310924337492034E-2</v>
      </c>
      <c r="L24" s="101">
        <f t="shared" si="22"/>
        <v>2.6043697076697358E-2</v>
      </c>
      <c r="M24" s="101">
        <f t="shared" si="22"/>
        <v>2.5779183913210546E-2</v>
      </c>
      <c r="O24" t="s">
        <v>24</v>
      </c>
      <c r="P24" s="44">
        <f t="shared" si="18"/>
        <v>3.1480948267588217E-2</v>
      </c>
      <c r="Q24" s="44">
        <f t="shared" si="14"/>
        <v>-2.5460921776919797E-2</v>
      </c>
      <c r="R24" s="44">
        <f t="shared" si="15"/>
        <v>-4.2743614263471667E-2</v>
      </c>
      <c r="S24" s="44">
        <f t="shared" si="16"/>
        <v>-5.2306189100258431E-3</v>
      </c>
      <c r="T24" s="155">
        <f t="shared" si="19"/>
        <v>-1.0488551670707273E-2</v>
      </c>
    </row>
    <row r="25" spans="1:20" x14ac:dyDescent="0.2">
      <c r="A25" t="s">
        <v>23</v>
      </c>
      <c r="B25" s="14"/>
      <c r="C25" s="9">
        <v>0.16264270613107823</v>
      </c>
      <c r="D25" s="9">
        <v>0.16602628918099091</v>
      </c>
      <c r="E25" s="9">
        <v>0.16214243440520812</v>
      </c>
      <c r="F25" s="9">
        <v>0.15670637783453897</v>
      </c>
      <c r="G25" s="9">
        <v>0.15575173581058988</v>
      </c>
      <c r="H25" s="101">
        <f t="shared" ref="H25:M25" si="23">1-(H21+H23)</f>
        <v>0.16900821597459204</v>
      </c>
      <c r="I25" s="101">
        <f t="shared" si="23"/>
        <v>0.18228548038427084</v>
      </c>
      <c r="J25" s="101">
        <f t="shared" si="23"/>
        <v>0.19558355795026006</v>
      </c>
      <c r="K25" s="101">
        <f t="shared" si="23"/>
        <v>0.20890247760690661</v>
      </c>
      <c r="L25" s="101">
        <f t="shared" si="23"/>
        <v>0.2222422683122075</v>
      </c>
      <c r="M25" s="101">
        <f t="shared" si="23"/>
        <v>0.23560295904774453</v>
      </c>
    </row>
    <row r="26" spans="1:20" x14ac:dyDescent="0.2">
      <c r="A26" t="s">
        <v>24</v>
      </c>
      <c r="B26" s="14"/>
      <c r="C26" s="9">
        <v>0.13408033826638477</v>
      </c>
      <c r="D26" s="9">
        <v>0.13830131445904956</v>
      </c>
      <c r="E26" s="9">
        <v>0.13478003550996251</v>
      </c>
      <c r="F26" s="9">
        <v>0.12901904966170766</v>
      </c>
      <c r="G26" s="9">
        <v>0.12834420018079357</v>
      </c>
      <c r="H26" s="101">
        <f t="shared" ref="H26:M26" si="24">1-(H21+H23+H24)</f>
        <v>0.14187904535309181</v>
      </c>
      <c r="I26" s="101">
        <f t="shared" si="24"/>
        <v>0.15543184755307482</v>
      </c>
      <c r="J26" s="101">
        <f t="shared" si="24"/>
        <v>0.16900266440605449</v>
      </c>
      <c r="K26" s="101">
        <f t="shared" si="24"/>
        <v>0.18259155326941456</v>
      </c>
      <c r="L26" s="101">
        <f t="shared" si="24"/>
        <v>0.1961985712355101</v>
      </c>
      <c r="M26" s="101">
        <f t="shared" si="24"/>
        <v>0.20982377513453399</v>
      </c>
    </row>
    <row r="27" spans="1:20" x14ac:dyDescent="0.2">
      <c r="A27" t="s">
        <v>25</v>
      </c>
      <c r="B27" s="14"/>
      <c r="C27" s="13" t="s">
        <v>8</v>
      </c>
      <c r="D27" s="13" t="s">
        <v>8</v>
      </c>
      <c r="E27" s="13" t="s">
        <v>8</v>
      </c>
      <c r="F27" s="13" t="s">
        <v>8</v>
      </c>
      <c r="G27" s="13" t="s">
        <v>8</v>
      </c>
      <c r="H27" s="150">
        <v>0.25</v>
      </c>
      <c r="I27" s="150">
        <v>0.25</v>
      </c>
      <c r="J27" s="150">
        <v>0.25</v>
      </c>
      <c r="K27" s="150">
        <v>0.25</v>
      </c>
      <c r="L27" s="150">
        <v>0.25</v>
      </c>
      <c r="M27" s="15"/>
    </row>
    <row r="28" spans="1:20" ht="16" thickBot="1" x14ac:dyDescent="0.25">
      <c r="A28" t="s">
        <v>26</v>
      </c>
      <c r="B28" s="16"/>
      <c r="C28" s="29" t="s">
        <v>8</v>
      </c>
      <c r="D28" s="29" t="s">
        <v>8</v>
      </c>
      <c r="E28" s="29" t="s">
        <v>8</v>
      </c>
      <c r="F28" s="29" t="s">
        <v>8</v>
      </c>
      <c r="G28" s="29" t="s">
        <v>8</v>
      </c>
      <c r="H28" s="102"/>
      <c r="I28" s="102"/>
      <c r="J28" s="102"/>
      <c r="K28" s="102"/>
      <c r="L28" s="102"/>
      <c r="M28" s="17"/>
    </row>
    <row r="30" spans="1:20" x14ac:dyDescent="0.2">
      <c r="A30" s="6"/>
      <c r="B30" s="6"/>
    </row>
    <row r="31" spans="1:20" x14ac:dyDescent="0.2">
      <c r="A31" s="1" t="s">
        <v>27</v>
      </c>
      <c r="B31" s="1"/>
    </row>
  </sheetData>
  <printOptions horizontalCentered="1"/>
  <pageMargins left="0.2" right="0.2" top="0.75" bottom="0.75" header="0.3" footer="0.3"/>
  <pageSetup scale="85" orientation="landscape" r:id="rId1"/>
  <headerFooter>
    <oddFooter>&amp;LPage &amp;P&amp;CNKK Corporate Case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45"/>
  <sheetViews>
    <sheetView showGridLines="0" tabSelected="1" zoomScaleNormal="100" workbookViewId="0">
      <selection activeCell="Q44" sqref="Q44"/>
    </sheetView>
  </sheetViews>
  <sheetFormatPr baseColWidth="10" defaultColWidth="8.83203125" defaultRowHeight="15" x14ac:dyDescent="0.2"/>
  <cols>
    <col min="1" max="1" width="39.83203125" customWidth="1"/>
    <col min="2" max="2" width="3.5" customWidth="1"/>
    <col min="3" max="12" width="11.5" customWidth="1"/>
    <col min="13" max="13" width="3.5" customWidth="1"/>
    <col min="14" max="14" width="13.6640625" customWidth="1"/>
    <col min="15" max="15" width="29.83203125" bestFit="1" customWidth="1"/>
    <col min="16" max="16" width="13.6640625" customWidth="1"/>
    <col min="17" max="17" width="14.6640625" bestFit="1" customWidth="1"/>
    <col min="18" max="20" width="12.1640625" bestFit="1" customWidth="1"/>
  </cols>
  <sheetData>
    <row r="1" spans="1:20" x14ac:dyDescent="0.2">
      <c r="A1" s="45" t="str">
        <f>+'Income Statement'!A1</f>
        <v>NKK CORPORATION - VALUATION ANALYSIS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0" ht="16" thickBot="1" x14ac:dyDescent="0.25">
      <c r="A2" s="45" t="s">
        <v>28</v>
      </c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20" x14ac:dyDescent="0.2">
      <c r="A3" s="47" t="str">
        <f>+'Income Statement'!A3</f>
        <v>($000)</v>
      </c>
      <c r="B3" s="49"/>
      <c r="C3" s="50" t="str">
        <f>+'Income Statement'!C3</f>
        <v>Actual</v>
      </c>
      <c r="D3" s="50" t="str">
        <f>+'Income Statement'!D3</f>
        <v>Actual</v>
      </c>
      <c r="E3" s="50" t="str">
        <f>+'Income Statement'!E3</f>
        <v>Actual</v>
      </c>
      <c r="F3" s="50" t="str">
        <f>+'Income Statement'!F3</f>
        <v>Actual</v>
      </c>
      <c r="G3" s="67" t="str">
        <f>+'Income Statement'!G3</f>
        <v>Actual</v>
      </c>
      <c r="H3" s="50" t="s">
        <v>4</v>
      </c>
      <c r="I3" s="50" t="str">
        <f>+H3</f>
        <v>Projected</v>
      </c>
      <c r="J3" s="50" t="str">
        <f>+I3</f>
        <v>Projected</v>
      </c>
      <c r="K3" s="50" t="str">
        <f>+J3</f>
        <v>Projected</v>
      </c>
      <c r="L3" s="50" t="str">
        <f>+K3</f>
        <v>Projected</v>
      </c>
      <c r="M3" s="51"/>
    </row>
    <row r="4" spans="1:20" x14ac:dyDescent="0.2">
      <c r="A4" s="52" t="s">
        <v>29</v>
      </c>
      <c r="B4" s="53"/>
      <c r="C4" s="54">
        <f>+'Income Statement'!C4</f>
        <v>2000</v>
      </c>
      <c r="D4" s="54">
        <f>+'Income Statement'!D4</f>
        <v>2021</v>
      </c>
      <c r="E4" s="54">
        <f>+'Income Statement'!E4</f>
        <v>2022</v>
      </c>
      <c r="F4" s="54">
        <f>+'Income Statement'!F4</f>
        <v>2023</v>
      </c>
      <c r="G4" s="161">
        <f>+'Income Statement'!G4</f>
        <v>2024</v>
      </c>
      <c r="H4" s="162">
        <f>+'Income Statement'!H4</f>
        <v>2025</v>
      </c>
      <c r="I4" s="162">
        <f>+'Income Statement'!I4</f>
        <v>2026</v>
      </c>
      <c r="J4" s="162">
        <f>+'Income Statement'!J4</f>
        <v>2027</v>
      </c>
      <c r="K4" s="162">
        <f>+'Income Statement'!K4</f>
        <v>2028</v>
      </c>
      <c r="L4" s="162">
        <f>+'Income Statement'!L4</f>
        <v>2029</v>
      </c>
      <c r="M4" s="55"/>
    </row>
    <row r="5" spans="1:20" x14ac:dyDescent="0.2">
      <c r="B5" s="14"/>
      <c r="M5" s="15"/>
      <c r="O5" s="6" t="s">
        <v>125</v>
      </c>
    </row>
    <row r="6" spans="1:20" x14ac:dyDescent="0.2">
      <c r="A6" t="s">
        <v>30</v>
      </c>
      <c r="B6" s="14"/>
      <c r="C6" s="8">
        <v>21380</v>
      </c>
      <c r="D6" s="8">
        <v>23030</v>
      </c>
      <c r="E6" s="8">
        <v>25700</v>
      </c>
      <c r="F6" s="8">
        <v>26950</v>
      </c>
      <c r="G6" s="8">
        <v>28490</v>
      </c>
      <c r="H6" s="80">
        <f t="shared" ref="H6:L13" si="0">G6*(1+$T$7)</f>
        <v>30618.855814703853</v>
      </c>
      <c r="I6" s="80">
        <f t="shared" si="0"/>
        <v>32906.785938982939</v>
      </c>
      <c r="J6" s="80">
        <f t="shared" si="0"/>
        <v>35365.676868762472</v>
      </c>
      <c r="K6" s="80">
        <f t="shared" si="0"/>
        <v>38008.303293578283</v>
      </c>
      <c r="L6" s="80">
        <f t="shared" si="0"/>
        <v>40848.39446499147</v>
      </c>
      <c r="M6" s="15"/>
      <c r="P6">
        <v>2021</v>
      </c>
      <c r="Q6">
        <f>P6+1</f>
        <v>2022</v>
      </c>
      <c r="R6">
        <f>Q6+1</f>
        <v>2023</v>
      </c>
      <c r="S6">
        <f>R6+1</f>
        <v>2024</v>
      </c>
      <c r="T6" s="6" t="s">
        <v>126</v>
      </c>
    </row>
    <row r="7" spans="1:20" x14ac:dyDescent="0.2">
      <c r="A7" t="s">
        <v>31</v>
      </c>
      <c r="B7" s="14"/>
      <c r="C7" s="3">
        <v>25030</v>
      </c>
      <c r="D7" s="3">
        <v>27025</v>
      </c>
      <c r="E7" s="3">
        <v>29175</v>
      </c>
      <c r="F7" s="3">
        <v>31075</v>
      </c>
      <c r="G7" s="3">
        <v>33065</v>
      </c>
      <c r="H7" s="80">
        <f t="shared" si="0"/>
        <v>35535.713145425863</v>
      </c>
      <c r="I7" s="80">
        <f t="shared" si="0"/>
        <v>38191.045176288906</v>
      </c>
      <c r="J7" s="80">
        <f t="shared" si="0"/>
        <v>41044.791353655004</v>
      </c>
      <c r="K7" s="80">
        <f t="shared" si="0"/>
        <v>44111.777760693789</v>
      </c>
      <c r="L7" s="80">
        <f t="shared" si="0"/>
        <v>47407.938328709832</v>
      </c>
      <c r="M7" s="15"/>
      <c r="O7" t="s">
        <v>30</v>
      </c>
      <c r="P7" s="154">
        <f>(D6-C6)/C6</f>
        <v>7.7174929840972878E-2</v>
      </c>
      <c r="Q7" s="154">
        <f>(E6-D6)/D6</f>
        <v>0.11593573599652628</v>
      </c>
      <c r="R7" s="154">
        <f>(F6-E6)/E6</f>
        <v>4.8638132295719845E-2</v>
      </c>
      <c r="S7" s="154">
        <f>(G6-F6)/F6</f>
        <v>5.7142857142857141E-2</v>
      </c>
      <c r="T7" s="156">
        <f>AVERAGE(P7:S7)</f>
        <v>7.4722913819019035E-2</v>
      </c>
    </row>
    <row r="8" spans="1:20" ht="18" x14ac:dyDescent="0.35">
      <c r="A8" t="s">
        <v>32</v>
      </c>
      <c r="B8" s="14"/>
      <c r="C8" s="31">
        <v>3315</v>
      </c>
      <c r="D8" s="31">
        <v>3650</v>
      </c>
      <c r="E8" s="31">
        <v>3765</v>
      </c>
      <c r="F8" s="31">
        <v>3995</v>
      </c>
      <c r="G8" s="31">
        <v>4165</v>
      </c>
      <c r="H8" s="80">
        <f t="shared" si="0"/>
        <v>4476.2209360562147</v>
      </c>
      <c r="I8" s="80">
        <f t="shared" si="0"/>
        <v>4810.6972072960325</v>
      </c>
      <c r="J8" s="80">
        <f t="shared" si="0"/>
        <v>5170.1665201262094</v>
      </c>
      <c r="K8" s="80">
        <f t="shared" si="0"/>
        <v>5556.4964274395779</v>
      </c>
      <c r="L8" s="80">
        <f t="shared" si="0"/>
        <v>5971.6940311228327</v>
      </c>
      <c r="M8" s="15"/>
      <c r="O8" t="s">
        <v>31</v>
      </c>
      <c r="P8" s="154">
        <f t="shared" ref="P8:P31" si="1">(D7-C7)/C7</f>
        <v>7.9704354774270875E-2</v>
      </c>
      <c r="Q8" s="154">
        <f t="shared" ref="Q8:Q31" si="2">(E7-D7)/D7</f>
        <v>7.9555966697502312E-2</v>
      </c>
      <c r="R8" s="154">
        <f t="shared" ref="R8:R31" si="3">(F7-E7)/E7</f>
        <v>6.5124250214224508E-2</v>
      </c>
      <c r="S8" s="154">
        <f t="shared" ref="S8:S31" si="4">(G7-F7)/F7</f>
        <v>6.4038616251005626E-2</v>
      </c>
      <c r="T8" s="156">
        <f t="shared" ref="T8:T31" si="5">AVERAGE(P8:S8)</f>
        <v>7.210579698425082E-2</v>
      </c>
    </row>
    <row r="9" spans="1:20" x14ac:dyDescent="0.2">
      <c r="A9" t="s">
        <v>33</v>
      </c>
      <c r="B9" s="14"/>
      <c r="C9" s="163">
        <v>49725</v>
      </c>
      <c r="D9" s="163">
        <v>53705</v>
      </c>
      <c r="E9" s="163">
        <v>58640</v>
      </c>
      <c r="F9" s="163">
        <v>62020</v>
      </c>
      <c r="G9" s="163">
        <v>65720</v>
      </c>
      <c r="H9" s="80">
        <f t="shared" si="0"/>
        <v>70630.789896185932</v>
      </c>
      <c r="I9" s="80">
        <f t="shared" si="0"/>
        <v>75908.528322567872</v>
      </c>
      <c r="J9" s="80">
        <f t="shared" si="0"/>
        <v>81580.634742543683</v>
      </c>
      <c r="K9" s="80">
        <f t="shared" si="0"/>
        <v>87676.577481711647</v>
      </c>
      <c r="L9" s="80">
        <f t="shared" si="0"/>
        <v>94228.026824824134</v>
      </c>
      <c r="M9" s="15"/>
      <c r="O9" t="s">
        <v>32</v>
      </c>
      <c r="P9" s="154">
        <f t="shared" si="1"/>
        <v>0.10105580693815988</v>
      </c>
      <c r="Q9" s="154">
        <f t="shared" si="2"/>
        <v>3.1506849315068496E-2</v>
      </c>
      <c r="R9" s="154">
        <f t="shared" si="3"/>
        <v>6.1088977423638779E-2</v>
      </c>
      <c r="S9" s="154">
        <f t="shared" si="4"/>
        <v>4.2553191489361701E-2</v>
      </c>
      <c r="T9" s="156">
        <f t="shared" si="5"/>
        <v>5.9051206291557218E-2</v>
      </c>
    </row>
    <row r="10" spans="1:20" x14ac:dyDescent="0.2">
      <c r="B10" s="14"/>
      <c r="H10" s="80">
        <f t="shared" si="0"/>
        <v>0</v>
      </c>
      <c r="I10" s="80">
        <f t="shared" si="0"/>
        <v>0</v>
      </c>
      <c r="J10" s="80">
        <f t="shared" si="0"/>
        <v>0</v>
      </c>
      <c r="K10" s="80">
        <f t="shared" si="0"/>
        <v>0</v>
      </c>
      <c r="L10" s="80">
        <f t="shared" si="0"/>
        <v>0</v>
      </c>
      <c r="M10" s="15"/>
      <c r="O10" t="s">
        <v>33</v>
      </c>
      <c r="P10" s="154">
        <f t="shared" si="1"/>
        <v>8.0040221216691798E-2</v>
      </c>
      <c r="Q10" s="154">
        <f t="shared" si="2"/>
        <v>9.1890885392421559E-2</v>
      </c>
      <c r="R10" s="154">
        <f t="shared" si="3"/>
        <v>5.7639836289222375E-2</v>
      </c>
      <c r="S10" s="154">
        <f t="shared" si="4"/>
        <v>5.965817478232828E-2</v>
      </c>
      <c r="T10" s="156">
        <f t="shared" si="5"/>
        <v>7.2307279420166001E-2</v>
      </c>
    </row>
    <row r="11" spans="1:20" x14ac:dyDescent="0.2">
      <c r="A11" t="s">
        <v>34</v>
      </c>
      <c r="B11" s="14"/>
      <c r="C11" s="3">
        <v>16450</v>
      </c>
      <c r="D11" s="3">
        <v>16900</v>
      </c>
      <c r="E11" s="3">
        <v>17635</v>
      </c>
      <c r="F11" s="3">
        <v>17255</v>
      </c>
      <c r="G11" s="3">
        <v>16935</v>
      </c>
      <c r="H11" s="80">
        <f t="shared" si="0"/>
        <v>18200.432545525087</v>
      </c>
      <c r="I11" s="80">
        <f t="shared" si="0"/>
        <v>19560.421898093227</v>
      </c>
      <c r="J11" s="80">
        <f t="shared" si="0"/>
        <v>21022.033617848101</v>
      </c>
      <c r="K11" s="80">
        <f t="shared" si="0"/>
        <v>22592.861224175085</v>
      </c>
      <c r="L11" s="80">
        <f t="shared" si="0"/>
        <v>24281.065646354178</v>
      </c>
      <c r="M11" s="15"/>
      <c r="P11" s="154"/>
      <c r="Q11" s="154"/>
      <c r="R11" s="154"/>
      <c r="S11" s="154"/>
      <c r="T11" s="156"/>
    </row>
    <row r="12" spans="1:20" ht="18" x14ac:dyDescent="0.35">
      <c r="A12" t="s">
        <v>35</v>
      </c>
      <c r="B12" s="14"/>
      <c r="C12" s="31">
        <v>4750</v>
      </c>
      <c r="D12" s="31">
        <v>4825</v>
      </c>
      <c r="E12" s="31">
        <v>4905</v>
      </c>
      <c r="F12" s="31">
        <v>4875</v>
      </c>
      <c r="G12" s="31">
        <v>5195</v>
      </c>
      <c r="H12" s="80">
        <f t="shared" si="0"/>
        <v>5583.1855372898044</v>
      </c>
      <c r="I12" s="80">
        <f t="shared" si="0"/>
        <v>6000.3774290283045</v>
      </c>
      <c r="J12" s="80">
        <f t="shared" si="0"/>
        <v>6448.7431145391738</v>
      </c>
      <c r="K12" s="80">
        <f t="shared" si="0"/>
        <v>6930.6119905278774</v>
      </c>
      <c r="L12" s="80">
        <f t="shared" si="0"/>
        <v>7448.4875130091523</v>
      </c>
      <c r="M12" s="15"/>
      <c r="O12" t="s">
        <v>34</v>
      </c>
      <c r="P12" s="154">
        <f t="shared" si="1"/>
        <v>2.7355623100303952E-2</v>
      </c>
      <c r="Q12" s="154">
        <f t="shared" si="2"/>
        <v>4.3491124260355028E-2</v>
      </c>
      <c r="R12" s="154">
        <f t="shared" si="3"/>
        <v>-2.1548057839523675E-2</v>
      </c>
      <c r="S12" s="154">
        <f t="shared" si="4"/>
        <v>-1.8545349174152421E-2</v>
      </c>
      <c r="T12" s="156">
        <f t="shared" si="5"/>
        <v>7.6883350867457201E-3</v>
      </c>
    </row>
    <row r="13" spans="1:20" ht="18" x14ac:dyDescent="0.35">
      <c r="A13" t="s">
        <v>36</v>
      </c>
      <c r="B13" s="14"/>
      <c r="C13" s="31">
        <v>21200</v>
      </c>
      <c r="D13" s="31">
        <v>21725</v>
      </c>
      <c r="E13" s="31">
        <v>22540</v>
      </c>
      <c r="F13" s="31">
        <v>22130</v>
      </c>
      <c r="G13" s="31">
        <v>22130</v>
      </c>
      <c r="H13" s="80">
        <f t="shared" si="0"/>
        <v>23783.618082814894</v>
      </c>
      <c r="I13" s="80">
        <f t="shared" si="0"/>
        <v>25560.799327121535</v>
      </c>
      <c r="J13" s="80">
        <f t="shared" si="0"/>
        <v>27470.776732387279</v>
      </c>
      <c r="K13" s="80">
        <f t="shared" si="0"/>
        <v>29523.473214702968</v>
      </c>
      <c r="L13" s="80">
        <f t="shared" si="0"/>
        <v>31729.553159363335</v>
      </c>
      <c r="M13" s="15"/>
      <c r="O13" t="s">
        <v>35</v>
      </c>
      <c r="P13" s="154">
        <f t="shared" si="1"/>
        <v>1.5789473684210527E-2</v>
      </c>
      <c r="Q13" s="154">
        <f t="shared" si="2"/>
        <v>1.6580310880829015E-2</v>
      </c>
      <c r="R13" s="154">
        <f t="shared" si="3"/>
        <v>-6.1162079510703364E-3</v>
      </c>
      <c r="S13" s="154">
        <f t="shared" si="4"/>
        <v>6.5641025641025641E-2</v>
      </c>
      <c r="T13" s="156">
        <f t="shared" si="5"/>
        <v>2.2973650563748713E-2</v>
      </c>
    </row>
    <row r="14" spans="1:20" x14ac:dyDescent="0.2">
      <c r="B14" s="14"/>
      <c r="C14" s="3"/>
      <c r="D14" s="3"/>
      <c r="E14" s="3"/>
      <c r="F14" s="3"/>
      <c r="G14" s="3"/>
      <c r="H14" s="80"/>
      <c r="I14" s="80"/>
      <c r="J14" s="80"/>
      <c r="K14" s="80"/>
      <c r="L14" s="80"/>
      <c r="M14" s="15"/>
      <c r="O14" t="s">
        <v>36</v>
      </c>
      <c r="P14" s="154">
        <f t="shared" si="1"/>
        <v>2.4764150943396228E-2</v>
      </c>
      <c r="Q14" s="154">
        <f t="shared" si="2"/>
        <v>3.7514384349827387E-2</v>
      </c>
      <c r="R14" s="154">
        <f t="shared" si="3"/>
        <v>-1.8189884649511979E-2</v>
      </c>
      <c r="S14" s="154">
        <f t="shared" si="4"/>
        <v>0</v>
      </c>
      <c r="T14" s="156">
        <f t="shared" si="5"/>
        <v>1.1022162660927908E-2</v>
      </c>
    </row>
    <row r="15" spans="1:20" x14ac:dyDescent="0.2">
      <c r="A15" t="s">
        <v>37</v>
      </c>
      <c r="B15" s="14"/>
      <c r="C15" s="8">
        <v>28525</v>
      </c>
      <c r="D15" s="8">
        <v>31980</v>
      </c>
      <c r="E15" s="8">
        <v>36100</v>
      </c>
      <c r="F15" s="8">
        <v>39890</v>
      </c>
      <c r="G15" s="8">
        <v>43590</v>
      </c>
      <c r="H15" s="80">
        <f>G15*(1+$T$7)</f>
        <v>46847.171813371038</v>
      </c>
      <c r="I15" s="80">
        <f>H15*(1+$T$7)</f>
        <v>50347.728995446341</v>
      </c>
      <c r="J15" s="80">
        <f>I15*(1+$T$7)</f>
        <v>54109.858010156408</v>
      </c>
      <c r="K15" s="80">
        <f>J15*(1+$T$7)</f>
        <v>58153.104267008683</v>
      </c>
      <c r="L15" s="80">
        <f>K15*(1+$T$7)</f>
        <v>62498.473665460806</v>
      </c>
      <c r="M15" s="15"/>
      <c r="P15" s="154"/>
      <c r="Q15" s="154"/>
      <c r="R15" s="154"/>
      <c r="S15" s="154"/>
      <c r="T15" s="156"/>
    </row>
    <row r="16" spans="1:20" ht="16" thickBot="1" x14ac:dyDescent="0.25">
      <c r="A16" t="s">
        <v>38</v>
      </c>
      <c r="B16" s="16"/>
      <c r="C16" s="36" t="s">
        <v>8</v>
      </c>
      <c r="D16" s="37">
        <v>-3455</v>
      </c>
      <c r="E16" s="37">
        <v>-4120</v>
      </c>
      <c r="F16" s="37">
        <v>-3790</v>
      </c>
      <c r="G16" s="37">
        <v>-3700</v>
      </c>
      <c r="H16" s="80">
        <f t="shared" ref="H16:M16" si="6">G16*(1+$T$7)</f>
        <v>-3976.4747811303705</v>
      </c>
      <c r="I16" s="80">
        <f t="shared" si="6"/>
        <v>-4273.6085635042782</v>
      </c>
      <c r="J16" s="80">
        <f t="shared" si="6"/>
        <v>-4592.9450478912304</v>
      </c>
      <c r="K16" s="80">
        <f t="shared" si="6"/>
        <v>-4936.143284880297</v>
      </c>
      <c r="L16" s="80">
        <f t="shared" si="6"/>
        <v>-5304.9862941547372</v>
      </c>
      <c r="M16" s="80">
        <f t="shared" si="6"/>
        <v>-5701.3903278239386</v>
      </c>
      <c r="O16" t="s">
        <v>37</v>
      </c>
      <c r="P16" s="154">
        <f t="shared" si="1"/>
        <v>0.12112182296231376</v>
      </c>
      <c r="Q16" s="154">
        <f t="shared" si="2"/>
        <v>0.1288305190744215</v>
      </c>
      <c r="R16" s="154">
        <f t="shared" si="3"/>
        <v>0.10498614958448753</v>
      </c>
      <c r="S16" s="154">
        <f t="shared" si="4"/>
        <v>9.2755076460265734E-2</v>
      </c>
      <c r="T16" s="156">
        <f t="shared" si="5"/>
        <v>0.11192339202037213</v>
      </c>
    </row>
    <row r="17" spans="1:20" ht="16" thickBot="1" x14ac:dyDescent="0.25">
      <c r="C17" s="24"/>
      <c r="D17" s="3"/>
      <c r="E17" s="3"/>
      <c r="F17" s="3"/>
      <c r="G17" s="3"/>
      <c r="H17" s="159"/>
      <c r="I17" s="159"/>
      <c r="J17" s="159"/>
      <c r="K17" s="159"/>
      <c r="L17" s="159"/>
      <c r="O17" t="s">
        <v>38</v>
      </c>
      <c r="P17" s="154"/>
      <c r="Q17" s="154">
        <f t="shared" si="2"/>
        <v>0.19247467438494936</v>
      </c>
      <c r="R17" s="154">
        <f t="shared" si="3"/>
        <v>-8.0097087378640783E-2</v>
      </c>
      <c r="S17" s="154">
        <f t="shared" si="4"/>
        <v>-2.3746701846965697E-2</v>
      </c>
      <c r="T17" s="156">
        <f>AVERAGE(P17:S17)</f>
        <v>2.9543628386447626E-2</v>
      </c>
    </row>
    <row r="18" spans="1:20" x14ac:dyDescent="0.2">
      <c r="B18" s="34"/>
      <c r="C18" s="35"/>
      <c r="D18" s="35"/>
      <c r="E18" s="35"/>
      <c r="F18" s="35"/>
      <c r="G18" s="35"/>
      <c r="H18" s="160"/>
      <c r="I18" s="160"/>
      <c r="J18" s="160"/>
      <c r="K18" s="160"/>
      <c r="L18" s="160"/>
      <c r="M18" s="11"/>
      <c r="P18" s="154"/>
      <c r="Q18" s="154"/>
      <c r="R18" s="154"/>
      <c r="S18" s="154"/>
      <c r="T18" s="156"/>
    </row>
    <row r="19" spans="1:20" x14ac:dyDescent="0.2">
      <c r="A19" t="s">
        <v>6</v>
      </c>
      <c r="B19" s="14"/>
      <c r="C19" s="8">
        <v>236500</v>
      </c>
      <c r="D19" s="8">
        <v>247250</v>
      </c>
      <c r="E19" s="8">
        <v>253450</v>
      </c>
      <c r="F19" s="8">
        <v>256435</v>
      </c>
      <c r="G19" s="8">
        <v>259965</v>
      </c>
      <c r="H19" s="80">
        <f>'Income Statement'!H6</f>
        <v>263543.59282079275</v>
      </c>
      <c r="I19" s="80">
        <f>'Income Statement'!I6</f>
        <v>266192.11576163041</v>
      </c>
      <c r="J19" s="80">
        <f>'Income Statement'!J6</f>
        <v>268145.10718764237</v>
      </c>
      <c r="K19" s="80">
        <f>'Income Statement'!K6</f>
        <v>269581.35340246983</v>
      </c>
      <c r="L19" s="80">
        <f>'Income Statement'!L6</f>
        <v>270635.50419921731</v>
      </c>
      <c r="M19" s="15"/>
      <c r="P19" s="154"/>
      <c r="Q19" s="154"/>
      <c r="R19" s="154"/>
      <c r="S19" s="154"/>
      <c r="T19" s="156"/>
    </row>
    <row r="20" spans="1:20" x14ac:dyDescent="0.2">
      <c r="A20" t="s">
        <v>9</v>
      </c>
      <c r="B20" s="14"/>
      <c r="C20" s="3">
        <v>167635</v>
      </c>
      <c r="D20" s="3">
        <v>174700</v>
      </c>
      <c r="E20" s="3">
        <v>179555</v>
      </c>
      <c r="F20" s="3">
        <v>182650</v>
      </c>
      <c r="G20" s="3">
        <v>185500</v>
      </c>
      <c r="H20" s="80">
        <f>'Income Statement'!H8</f>
        <v>184414.98027232697</v>
      </c>
      <c r="I20" s="80">
        <f>'Income Statement'!I8</f>
        <v>182587.02146880334</v>
      </c>
      <c r="J20" s="80">
        <f>'Income Statement'!J8</f>
        <v>180212.14260533251</v>
      </c>
      <c r="K20" s="80">
        <f>'Income Statement'!K8</f>
        <v>177436.77828123525</v>
      </c>
      <c r="L20" s="80">
        <f>'Income Statement'!L8</f>
        <v>174369.08289208202</v>
      </c>
      <c r="M20" s="15"/>
      <c r="O20" t="s">
        <v>6</v>
      </c>
      <c r="P20" s="154">
        <f t="shared" si="1"/>
        <v>4.5454545454545456E-2</v>
      </c>
      <c r="Q20" s="154">
        <f t="shared" si="2"/>
        <v>2.5075834175935289E-2</v>
      </c>
      <c r="R20" s="154">
        <f t="shared" si="3"/>
        <v>1.1777470901558493E-2</v>
      </c>
      <c r="S20" s="154">
        <f t="shared" si="4"/>
        <v>1.3765671612689375E-2</v>
      </c>
      <c r="T20" s="156">
        <f t="shared" si="5"/>
        <v>2.4018380536182153E-2</v>
      </c>
    </row>
    <row r="21" spans="1:20" x14ac:dyDescent="0.2">
      <c r="A21" t="s">
        <v>39</v>
      </c>
      <c r="B21" s="14"/>
      <c r="C21" s="25">
        <v>32.996617336152219</v>
      </c>
      <c r="D21" s="25">
        <v>33.997775530839228</v>
      </c>
      <c r="E21" s="25">
        <v>37.011244821463798</v>
      </c>
      <c r="F21" s="25">
        <v>38.359623296351899</v>
      </c>
      <c r="G21" s="25">
        <v>40.000961667916833</v>
      </c>
      <c r="H21" s="158">
        <f>G21*(1+$T$22)</f>
        <v>41.982991848589947</v>
      </c>
      <c r="I21" s="158">
        <f>H21*(1+$T$22)</f>
        <v>44.063230759085918</v>
      </c>
      <c r="J21" s="158">
        <f>I21*(1+$T$22)</f>
        <v>46.246544599075911</v>
      </c>
      <c r="K21" s="158">
        <f>J21*(1+$T$22)</f>
        <v>48.538040686299532</v>
      </c>
      <c r="L21" s="158">
        <f>K21*(1+$T$22)</f>
        <v>50.943079403859826</v>
      </c>
      <c r="M21" s="15"/>
      <c r="O21" t="s">
        <v>9</v>
      </c>
      <c r="P21" s="154">
        <f t="shared" si="1"/>
        <v>4.2145136755450834E-2</v>
      </c>
      <c r="Q21" s="154">
        <f t="shared" si="2"/>
        <v>2.7790497996565539E-2</v>
      </c>
      <c r="R21" s="154">
        <f t="shared" si="3"/>
        <v>1.723705828297736E-2</v>
      </c>
      <c r="S21" s="154">
        <f t="shared" si="4"/>
        <v>1.5603613468382151E-2</v>
      </c>
      <c r="T21" s="156">
        <f t="shared" si="5"/>
        <v>2.5694076625843974E-2</v>
      </c>
    </row>
    <row r="22" spans="1:20" x14ac:dyDescent="0.2">
      <c r="A22" t="s">
        <v>40</v>
      </c>
      <c r="B22" s="14"/>
      <c r="C22" s="3">
        <v>6.6973631642029563</v>
      </c>
      <c r="D22" s="3">
        <v>6.4643848288621646</v>
      </c>
      <c r="E22" s="3">
        <v>6.1544130248500428</v>
      </c>
      <c r="F22" s="3">
        <v>5.8777152051488333</v>
      </c>
      <c r="G22" s="3">
        <v>5.6101618025102074</v>
      </c>
      <c r="H22" s="158">
        <f>G22*(1+$T$23)</f>
        <v>5.3672186520671268</v>
      </c>
      <c r="I22" s="158">
        <f>H22*(1+$T$23)</f>
        <v>5.1347959422859901</v>
      </c>
      <c r="J22" s="158">
        <f>I22*(1+$T$23)</f>
        <v>4.9124380946846715</v>
      </c>
      <c r="K22" s="158">
        <f>J22*(1+$T$23)</f>
        <v>4.6997092592087855</v>
      </c>
      <c r="L22" s="158">
        <f>K22*(1+$T$23)</f>
        <v>4.4961924599093734</v>
      </c>
      <c r="M22" s="15"/>
      <c r="O22" t="s">
        <v>39</v>
      </c>
      <c r="P22" s="154">
        <f t="shared" si="1"/>
        <v>3.0341237239191333E-2</v>
      </c>
      <c r="Q22" s="154">
        <f t="shared" si="2"/>
        <v>8.8637248866210855E-2</v>
      </c>
      <c r="R22" s="154">
        <f t="shared" si="3"/>
        <v>3.6431589409987648E-2</v>
      </c>
      <c r="S22" s="154">
        <f t="shared" si="4"/>
        <v>4.2788177529392742E-2</v>
      </c>
      <c r="T22" s="156">
        <f t="shared" si="5"/>
        <v>4.9549563261195639E-2</v>
      </c>
    </row>
    <row r="23" spans="1:20" x14ac:dyDescent="0.2">
      <c r="A23" t="s">
        <v>41</v>
      </c>
      <c r="B23" s="14"/>
      <c r="C23" s="9">
        <v>1.40169133192389E-2</v>
      </c>
      <c r="D23" s="9">
        <v>1.4762386248736097E-2</v>
      </c>
      <c r="E23" s="9">
        <v>1.4855000986387848E-2</v>
      </c>
      <c r="F23" s="9">
        <v>1.5578996626825511E-2</v>
      </c>
      <c r="G23" s="9">
        <v>1.6021387494470411E-2</v>
      </c>
      <c r="H23" s="101">
        <f>G23*(1+T24)</f>
        <v>1.6568484375122806E-2</v>
      </c>
      <c r="I23" s="101">
        <f t="shared" ref="I23:I25" si="7">H23*(1+U24)</f>
        <v>1.6568484375122806E-2</v>
      </c>
      <c r="J23" s="101">
        <f t="shared" ref="J23:J25" si="8">I23*(1+V24)</f>
        <v>1.6568484375122806E-2</v>
      </c>
      <c r="K23" s="101">
        <f t="shared" ref="K23:K25" si="9">J23*(1+W24)</f>
        <v>1.6568484375122806E-2</v>
      </c>
      <c r="L23" s="101">
        <f t="shared" ref="L23:L25" si="10">K23*(1+X24)</f>
        <v>1.6568484375122806E-2</v>
      </c>
      <c r="M23" s="15"/>
      <c r="O23" t="s">
        <v>40</v>
      </c>
      <c r="P23" s="154">
        <f t="shared" si="1"/>
        <v>-3.4786576392638865E-2</v>
      </c>
      <c r="Q23" s="154">
        <f t="shared" si="2"/>
        <v>-4.795070408372977E-2</v>
      </c>
      <c r="R23" s="154">
        <f t="shared" si="3"/>
        <v>-4.495925421059168E-2</v>
      </c>
      <c r="S23" s="154">
        <f t="shared" si="4"/>
        <v>-4.5519967079087328E-2</v>
      </c>
      <c r="T23" s="156">
        <f t="shared" si="5"/>
        <v>-4.3304125441511909E-2</v>
      </c>
    </row>
    <row r="24" spans="1:20" x14ac:dyDescent="0.2">
      <c r="A24" s="1" t="s">
        <v>42</v>
      </c>
      <c r="B24" s="14"/>
      <c r="C24" s="25">
        <v>35.81740090076655</v>
      </c>
      <c r="D24" s="25">
        <v>35.309101316542645</v>
      </c>
      <c r="E24" s="25">
        <v>35.848486536158838</v>
      </c>
      <c r="F24" s="25">
        <v>34.481658910484533</v>
      </c>
      <c r="G24" s="25">
        <v>33.322237196765499</v>
      </c>
      <c r="H24" s="158">
        <f t="shared" ref="H24" si="11">G24*(1+T25)</f>
        <v>32.733537198713222</v>
      </c>
      <c r="I24" s="158">
        <f t="shared" si="7"/>
        <v>32.733537198713222</v>
      </c>
      <c r="J24" s="158">
        <f t="shared" si="8"/>
        <v>32.733537198713222</v>
      </c>
      <c r="K24" s="158">
        <f t="shared" si="9"/>
        <v>32.733537198713222</v>
      </c>
      <c r="L24" s="158">
        <f t="shared" si="10"/>
        <v>32.733537198713222</v>
      </c>
      <c r="M24" s="15"/>
      <c r="O24" t="s">
        <v>41</v>
      </c>
      <c r="P24" s="154">
        <f t="shared" si="1"/>
        <v>5.3183815332152953E-2</v>
      </c>
      <c r="Q24" s="154">
        <f t="shared" si="2"/>
        <v>6.2736969546289354E-3</v>
      </c>
      <c r="R24" s="154">
        <f t="shared" si="3"/>
        <v>4.8737502010338815E-2</v>
      </c>
      <c r="S24" s="154">
        <f t="shared" si="4"/>
        <v>2.8396621312770914E-2</v>
      </c>
      <c r="T24" s="156">
        <f t="shared" si="5"/>
        <v>3.41479089024729E-2</v>
      </c>
    </row>
    <row r="25" spans="1:20" ht="16" thickBot="1" x14ac:dyDescent="0.25">
      <c r="A25" t="s">
        <v>43</v>
      </c>
      <c r="B25" s="16"/>
      <c r="C25" s="30">
        <v>2.833537149163361E-2</v>
      </c>
      <c r="D25" s="30">
        <v>2.7618775042930737E-2</v>
      </c>
      <c r="E25" s="30">
        <v>2.7317535017125673E-2</v>
      </c>
      <c r="F25" s="30">
        <v>2.6690391459074734E-2</v>
      </c>
      <c r="G25" s="30">
        <v>2.8005390835579513E-2</v>
      </c>
      <c r="H25" s="102">
        <f>G25*(1+T26)</f>
        <v>2.7936176936116105E-2</v>
      </c>
      <c r="I25" s="102">
        <f t="shared" si="7"/>
        <v>2.7936176936116105E-2</v>
      </c>
      <c r="J25" s="102">
        <f t="shared" si="8"/>
        <v>2.7936176936116105E-2</v>
      </c>
      <c r="K25" s="102">
        <f t="shared" si="9"/>
        <v>2.7936176936116105E-2</v>
      </c>
      <c r="L25" s="102">
        <f t="shared" si="10"/>
        <v>2.7936176936116105E-2</v>
      </c>
      <c r="M25" s="17"/>
      <c r="O25" s="1" t="s">
        <v>42</v>
      </c>
      <c r="P25" s="154">
        <f t="shared" si="1"/>
        <v>-1.419141454825739E-2</v>
      </c>
      <c r="Q25" s="154">
        <f t="shared" si="2"/>
        <v>1.5276095949898504E-2</v>
      </c>
      <c r="R25" s="154">
        <f t="shared" si="3"/>
        <v>-3.8127903232278534E-2</v>
      </c>
      <c r="S25" s="154">
        <f t="shared" si="4"/>
        <v>-3.3624302030506398E-2</v>
      </c>
      <c r="T25" s="156">
        <f t="shared" si="5"/>
        <v>-1.7666880965285955E-2</v>
      </c>
    </row>
    <row r="26" spans="1:20" ht="16" thickBot="1" x14ac:dyDescent="0.25">
      <c r="C26" s="9"/>
      <c r="D26" s="9"/>
      <c r="E26" s="9"/>
      <c r="F26" s="9"/>
      <c r="G26" s="9"/>
      <c r="H26" s="7"/>
      <c r="I26" s="7"/>
      <c r="J26" s="7"/>
      <c r="K26" s="7"/>
      <c r="L26" s="7"/>
      <c r="O26" t="s">
        <v>43</v>
      </c>
      <c r="P26" s="154">
        <f t="shared" si="1"/>
        <v>-2.52898201428013E-2</v>
      </c>
      <c r="Q26" s="154">
        <f t="shared" si="2"/>
        <v>-1.0907074094952273E-2</v>
      </c>
      <c r="R26" s="154">
        <f t="shared" si="3"/>
        <v>-2.2957545681108325E-2</v>
      </c>
      <c r="S26" s="154">
        <f t="shared" si="4"/>
        <v>4.9268643306379069E-2</v>
      </c>
      <c r="T26" s="156">
        <f t="shared" si="5"/>
        <v>-2.4714491531207076E-3</v>
      </c>
    </row>
    <row r="27" spans="1:20" x14ac:dyDescent="0.2">
      <c r="A27" s="4" t="s">
        <v>44</v>
      </c>
      <c r="B27" s="10"/>
      <c r="C27" s="38"/>
      <c r="D27" s="38"/>
      <c r="E27" s="38"/>
      <c r="F27" s="38"/>
      <c r="G27" s="38"/>
      <c r="H27" s="40"/>
      <c r="I27" s="40"/>
      <c r="J27" s="39"/>
      <c r="K27" s="39"/>
      <c r="L27" s="39"/>
      <c r="M27" s="11"/>
      <c r="P27" s="154"/>
      <c r="Q27" s="154"/>
      <c r="R27" s="154"/>
      <c r="S27" s="154"/>
      <c r="T27" s="156"/>
    </row>
    <row r="28" spans="1:20" x14ac:dyDescent="0.2">
      <c r="A28" t="s">
        <v>45</v>
      </c>
      <c r="B28" s="14"/>
      <c r="C28" s="24">
        <v>6255</v>
      </c>
      <c r="D28" s="24">
        <v>6135</v>
      </c>
      <c r="E28" s="24">
        <v>6390</v>
      </c>
      <c r="F28" s="24">
        <v>6860</v>
      </c>
      <c r="G28" s="24">
        <v>7390</v>
      </c>
      <c r="H28" s="80">
        <f>$Q$43</f>
        <v>22404</v>
      </c>
      <c r="I28" s="80">
        <f>$Q$43</f>
        <v>22404</v>
      </c>
      <c r="J28" s="80">
        <f>$Q$43</f>
        <v>22404</v>
      </c>
      <c r="K28" s="80">
        <f>$Q$43</f>
        <v>22404</v>
      </c>
      <c r="L28" s="80">
        <f>$Q$43</f>
        <v>22404</v>
      </c>
      <c r="M28" s="15"/>
      <c r="O28" s="4" t="s">
        <v>44</v>
      </c>
      <c r="P28" s="154"/>
      <c r="Q28" s="154"/>
      <c r="R28" s="154"/>
      <c r="S28" s="154"/>
      <c r="T28" s="156"/>
    </row>
    <row r="29" spans="1:20" x14ac:dyDescent="0.2">
      <c r="A29" t="str">
        <f>+'Income Statement'!A13</f>
        <v>Depreciation</v>
      </c>
      <c r="B29" s="14"/>
      <c r="C29" s="3">
        <v>6755</v>
      </c>
      <c r="D29" s="3">
        <v>6855</v>
      </c>
      <c r="E29" s="3">
        <v>6935</v>
      </c>
      <c r="F29" s="3">
        <v>7100</v>
      </c>
      <c r="G29" s="3">
        <v>7125</v>
      </c>
      <c r="H29" s="74">
        <f>'Income Statement'!H13</f>
        <v>4750</v>
      </c>
      <c r="I29" s="74">
        <f>'Income Statement'!I13</f>
        <v>4877.5547559481802</v>
      </c>
      <c r="J29" s="74">
        <f>'Income Statement'!J13</f>
        <v>5007.2045196720719</v>
      </c>
      <c r="K29" s="74">
        <f>'Income Statement'!K13</f>
        <v>5138.9486989315119</v>
      </c>
      <c r="L29" s="74">
        <f>'Income Statement'!L13</f>
        <v>5272.7859221391718</v>
      </c>
      <c r="M29" s="15"/>
      <c r="O29" t="s">
        <v>45</v>
      </c>
      <c r="P29" s="154">
        <f t="shared" si="1"/>
        <v>-1.9184652278177457E-2</v>
      </c>
      <c r="Q29" s="154">
        <f t="shared" si="2"/>
        <v>4.1564792176039117E-2</v>
      </c>
      <c r="R29" s="154">
        <f t="shared" si="3"/>
        <v>7.3552425665101728E-2</v>
      </c>
      <c r="S29" s="154">
        <f t="shared" si="4"/>
        <v>7.7259475218658891E-2</v>
      </c>
      <c r="T29" s="156">
        <f t="shared" si="5"/>
        <v>4.3298010195405572E-2</v>
      </c>
    </row>
    <row r="30" spans="1:20" ht="16" thickBot="1" x14ac:dyDescent="0.25">
      <c r="A30" t="s">
        <v>46</v>
      </c>
      <c r="B30" s="16"/>
      <c r="C30" s="26">
        <v>0.92598075499629906</v>
      </c>
      <c r="D30" s="26">
        <v>0.89496717724288843</v>
      </c>
      <c r="E30" s="26">
        <v>0.92141312184571011</v>
      </c>
      <c r="F30" s="26">
        <v>0.96619718309859159</v>
      </c>
      <c r="G30" s="26">
        <v>1.0371929824561403</v>
      </c>
      <c r="H30" s="98">
        <f>H28/H29</f>
        <v>4.7166315789473687</v>
      </c>
      <c r="I30" s="98">
        <f>I28/I29</f>
        <v>4.5932851850977814</v>
      </c>
      <c r="J30" s="98">
        <f>J28/J29</f>
        <v>4.474352887320701</v>
      </c>
      <c r="K30" s="98">
        <f>K28/K29</f>
        <v>4.3596465566309757</v>
      </c>
      <c r="L30" s="98">
        <f>L28/L29</f>
        <v>4.2489872205755486</v>
      </c>
      <c r="M30" s="17"/>
      <c r="O30">
        <f>+'Income Statement'!O14</f>
        <v>0</v>
      </c>
      <c r="P30" s="154">
        <f t="shared" si="1"/>
        <v>1.4803849000740192E-2</v>
      </c>
      <c r="Q30" s="154">
        <f t="shared" si="2"/>
        <v>1.1670313639679067E-2</v>
      </c>
      <c r="R30" s="154">
        <f t="shared" si="3"/>
        <v>2.3792357606344627E-2</v>
      </c>
      <c r="S30" s="154">
        <f t="shared" si="4"/>
        <v>3.5211267605633804E-3</v>
      </c>
      <c r="T30" s="156">
        <f t="shared" si="5"/>
        <v>1.3446911751831816E-2</v>
      </c>
    </row>
    <row r="31" spans="1:20" x14ac:dyDescent="0.2">
      <c r="O31" t="s">
        <v>46</v>
      </c>
      <c r="P31" s="154">
        <f t="shared" si="1"/>
        <v>-3.349268069133314E-2</v>
      </c>
      <c r="Q31" s="154">
        <f t="shared" si="2"/>
        <v>2.9549625143006131E-2</v>
      </c>
      <c r="R31" s="154">
        <f t="shared" si="3"/>
        <v>4.8603672110912842E-2</v>
      </c>
      <c r="S31" s="154">
        <f t="shared" si="4"/>
        <v>7.3479617410874054E-2</v>
      </c>
      <c r="T31" s="156">
        <f t="shared" si="5"/>
        <v>2.953505849336497E-2</v>
      </c>
    </row>
    <row r="32" spans="1:20" x14ac:dyDescent="0.2">
      <c r="P32" s="154"/>
      <c r="Q32" s="154"/>
      <c r="R32" s="154"/>
      <c r="S32" s="154"/>
      <c r="T32" s="154"/>
    </row>
    <row r="35" spans="15:18" x14ac:dyDescent="0.2">
      <c r="O35" t="s">
        <v>129</v>
      </c>
    </row>
    <row r="36" spans="15:18" x14ac:dyDescent="0.2">
      <c r="P36" t="s">
        <v>133</v>
      </c>
      <c r="Q36" t="s">
        <v>134</v>
      </c>
      <c r="R36" t="s">
        <v>136</v>
      </c>
    </row>
    <row r="37" spans="15:18" x14ac:dyDescent="0.2">
      <c r="O37" t="s">
        <v>130</v>
      </c>
      <c r="P37" s="153">
        <f>1/3</f>
        <v>0.33333333333333331</v>
      </c>
      <c r="Q37" s="164">
        <f>AVERAGE($C$28:$G$28)</f>
        <v>6606</v>
      </c>
      <c r="R37" s="165">
        <f>P37*Q37</f>
        <v>2202</v>
      </c>
    </row>
    <row r="38" spans="15:18" x14ac:dyDescent="0.2">
      <c r="O38" t="s">
        <v>131</v>
      </c>
      <c r="P38" s="153">
        <f>1/3</f>
        <v>0.33333333333333331</v>
      </c>
      <c r="Q38" s="164">
        <f>AVERAGE($C$28:$G$28)</f>
        <v>6606</v>
      </c>
      <c r="R38" s="165">
        <f>P38*Q38</f>
        <v>2202</v>
      </c>
    </row>
    <row r="39" spans="15:18" x14ac:dyDescent="0.2">
      <c r="O39" t="s">
        <v>132</v>
      </c>
      <c r="P39" s="153">
        <f>1/3</f>
        <v>0.33333333333333331</v>
      </c>
      <c r="Q39" s="164">
        <f>AVERAGE($C$28:$G$28)</f>
        <v>6606</v>
      </c>
      <c r="R39" s="165">
        <f>P39*Q39</f>
        <v>2202</v>
      </c>
    </row>
    <row r="41" spans="15:18" x14ac:dyDescent="0.2">
      <c r="O41" s="6" t="s">
        <v>135</v>
      </c>
    </row>
    <row r="42" spans="15:18" x14ac:dyDescent="0.2">
      <c r="P42" t="s">
        <v>133</v>
      </c>
      <c r="Q42" t="s">
        <v>134</v>
      </c>
      <c r="R42" t="s">
        <v>137</v>
      </c>
    </row>
    <row r="43" spans="15:18" x14ac:dyDescent="0.2">
      <c r="O43" t="s">
        <v>130</v>
      </c>
      <c r="P43">
        <f>(1-$P$45)/2</f>
        <v>9.8286020353508252E-2</v>
      </c>
      <c r="Q43" s="165">
        <f>($Q$37-$R$39)+(90000*1/5)</f>
        <v>22404</v>
      </c>
      <c r="R43" s="165">
        <f>P43*Q43</f>
        <v>2201.9999999999991</v>
      </c>
    </row>
    <row r="44" spans="15:18" x14ac:dyDescent="0.2">
      <c r="O44" t="s">
        <v>132</v>
      </c>
      <c r="P44">
        <f>(1-$P$45)/2</f>
        <v>9.8286020353508252E-2</v>
      </c>
      <c r="Q44" s="165">
        <f>($Q$37-$R$39)+(90000*1/5)</f>
        <v>22404</v>
      </c>
      <c r="R44" s="165">
        <f>P44*Q44</f>
        <v>2201.9999999999991</v>
      </c>
    </row>
    <row r="45" spans="15:18" x14ac:dyDescent="0.2">
      <c r="O45" t="s">
        <v>131</v>
      </c>
      <c r="P45">
        <v>0.8034279592929835</v>
      </c>
      <c r="Q45" s="165">
        <f>($Q$37-$R$39)+(90000*1/5)</f>
        <v>22404</v>
      </c>
      <c r="R45" s="165">
        <f>P45*Q45</f>
        <v>18000.000000000004</v>
      </c>
    </row>
  </sheetData>
  <printOptions horizontalCentered="1"/>
  <pageMargins left="0.2" right="0.2" top="0.75" bottom="0.75" header="0.3" footer="0.3"/>
  <pageSetup scale="80" orientation="landscape" r:id="rId1"/>
  <headerFooter>
    <oddFooter>&amp;LPage &amp;P&amp;CNKK Corporation Case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2"/>
  <sheetViews>
    <sheetView showGridLines="0" zoomScaleNormal="100" workbookViewId="0">
      <selection activeCell="C30" sqref="C30:C31"/>
    </sheetView>
  </sheetViews>
  <sheetFormatPr baseColWidth="10" defaultColWidth="8.83203125" defaultRowHeight="15" x14ac:dyDescent="0.2"/>
  <cols>
    <col min="1" max="1" width="36.33203125" customWidth="1"/>
    <col min="2" max="2" width="9.1640625" customWidth="1"/>
    <col min="3" max="3" width="22.1640625" customWidth="1"/>
    <col min="4" max="6" width="13.6640625" customWidth="1"/>
  </cols>
  <sheetData>
    <row r="1" spans="1:4" ht="16" thickBot="1" x14ac:dyDescent="0.25">
      <c r="A1" s="45" t="str">
        <f>+'Income Statement'!A1</f>
        <v>NKK CORPORATION - VALUATION ANALYSIS</v>
      </c>
      <c r="B1" s="45"/>
      <c r="C1" s="46"/>
      <c r="D1" s="46"/>
    </row>
    <row r="2" spans="1:4" x14ac:dyDescent="0.2">
      <c r="A2" s="45" t="s">
        <v>47</v>
      </c>
      <c r="B2" s="45"/>
      <c r="C2" s="48"/>
      <c r="D2" s="46"/>
    </row>
    <row r="3" spans="1:4" x14ac:dyDescent="0.2">
      <c r="A3" s="47" t="str">
        <f>+'Income Statement'!A3</f>
        <v>($000)</v>
      </c>
      <c r="B3" s="47"/>
      <c r="C3" s="69" t="s">
        <v>48</v>
      </c>
      <c r="D3" s="46"/>
    </row>
    <row r="4" spans="1:4" x14ac:dyDescent="0.2">
      <c r="C4" s="20"/>
    </row>
    <row r="5" spans="1:4" x14ac:dyDescent="0.2">
      <c r="A5" t="s">
        <v>49</v>
      </c>
      <c r="C5" s="21">
        <v>5437</v>
      </c>
    </row>
    <row r="6" spans="1:4" x14ac:dyDescent="0.2">
      <c r="A6" t="s">
        <v>30</v>
      </c>
      <c r="C6" s="22">
        <v>28490</v>
      </c>
    </row>
    <row r="7" spans="1:4" x14ac:dyDescent="0.2">
      <c r="A7" t="s">
        <v>31</v>
      </c>
      <c r="C7" s="22">
        <v>33065</v>
      </c>
    </row>
    <row r="8" spans="1:4" ht="18" x14ac:dyDescent="0.35">
      <c r="A8" t="s">
        <v>32</v>
      </c>
      <c r="C8" s="41">
        <v>4165</v>
      </c>
    </row>
    <row r="9" spans="1:4" x14ac:dyDescent="0.2">
      <c r="A9" t="s">
        <v>33</v>
      </c>
      <c r="C9" s="23">
        <f>SUM(C5:C8)</f>
        <v>71157</v>
      </c>
    </row>
    <row r="10" spans="1:4" x14ac:dyDescent="0.2">
      <c r="C10" s="20"/>
    </row>
    <row r="11" spans="1:4" x14ac:dyDescent="0.2">
      <c r="A11" t="s">
        <v>50</v>
      </c>
      <c r="C11" s="23">
        <v>48890</v>
      </c>
    </row>
    <row r="12" spans="1:4" ht="18" x14ac:dyDescent="0.35">
      <c r="A12" t="s">
        <v>51</v>
      </c>
      <c r="C12" s="41">
        <v>4238</v>
      </c>
    </row>
    <row r="13" spans="1:4" x14ac:dyDescent="0.2">
      <c r="C13" s="20"/>
    </row>
    <row r="14" spans="1:4" ht="18" x14ac:dyDescent="0.35">
      <c r="A14" t="s">
        <v>52</v>
      </c>
      <c r="C14" s="42">
        <f>SUM(C9:C12)</f>
        <v>124285</v>
      </c>
    </row>
    <row r="15" spans="1:4" x14ac:dyDescent="0.2">
      <c r="C15" s="20"/>
    </row>
    <row r="16" spans="1:4" x14ac:dyDescent="0.2">
      <c r="A16" t="s">
        <v>34</v>
      </c>
      <c r="C16" s="22">
        <v>16935</v>
      </c>
    </row>
    <row r="17" spans="1:3" x14ac:dyDescent="0.2">
      <c r="A17" t="s">
        <v>35</v>
      </c>
      <c r="C17" s="22">
        <v>5195</v>
      </c>
    </row>
    <row r="18" spans="1:3" ht="18" x14ac:dyDescent="0.35">
      <c r="A18" t="s">
        <v>53</v>
      </c>
      <c r="C18" s="41">
        <v>2500</v>
      </c>
    </row>
    <row r="19" spans="1:3" x14ac:dyDescent="0.2">
      <c r="A19" t="s">
        <v>54</v>
      </c>
      <c r="C19" s="23">
        <f>SUM(C16:C18)</f>
        <v>24630</v>
      </c>
    </row>
    <row r="20" spans="1:3" x14ac:dyDescent="0.2">
      <c r="C20" s="20"/>
    </row>
    <row r="21" spans="1:3" x14ac:dyDescent="0.2">
      <c r="A21" t="s">
        <v>55</v>
      </c>
      <c r="C21" s="23">
        <v>62500</v>
      </c>
    </row>
    <row r="22" spans="1:3" ht="18" x14ac:dyDescent="0.35">
      <c r="A22" t="s">
        <v>56</v>
      </c>
      <c r="C22" s="41">
        <v>3835</v>
      </c>
    </row>
    <row r="23" spans="1:3" x14ac:dyDescent="0.2">
      <c r="A23" t="s">
        <v>57</v>
      </c>
      <c r="C23" s="23">
        <f>SUM(C19:C22)</f>
        <v>90965</v>
      </c>
    </row>
    <row r="24" spans="1:3" x14ac:dyDescent="0.2">
      <c r="C24" s="20"/>
    </row>
    <row r="25" spans="1:3" x14ac:dyDescent="0.2">
      <c r="A25" t="s">
        <v>58</v>
      </c>
      <c r="C25" s="22">
        <v>33320</v>
      </c>
    </row>
    <row r="26" spans="1:3" x14ac:dyDescent="0.2">
      <c r="C26" s="20"/>
    </row>
    <row r="27" spans="1:3" ht="18" x14ac:dyDescent="0.35">
      <c r="A27" t="s">
        <v>59</v>
      </c>
      <c r="C27" s="43">
        <f>SUM(C23:C25)</f>
        <v>124285</v>
      </c>
    </row>
    <row r="28" spans="1:3" ht="16" thickBot="1" x14ac:dyDescent="0.25">
      <c r="C28" s="21"/>
    </row>
    <row r="29" spans="1:3" x14ac:dyDescent="0.2">
      <c r="A29" s="34" t="s">
        <v>128</v>
      </c>
      <c r="B29" s="35"/>
      <c r="C29" s="11">
        <f>C21/C25</f>
        <v>1.875750300120048</v>
      </c>
    </row>
    <row r="30" spans="1:3" x14ac:dyDescent="0.2">
      <c r="A30" s="14" t="s">
        <v>70</v>
      </c>
      <c r="C30" s="168">
        <f>(C23)/C27</f>
        <v>0.73190650520980005</v>
      </c>
    </row>
    <row r="31" spans="1:3" ht="16" thickBot="1" x14ac:dyDescent="0.25">
      <c r="A31" s="16" t="s">
        <v>69</v>
      </c>
      <c r="B31" s="157"/>
      <c r="C31" s="169">
        <f>C25/C27</f>
        <v>0.26809349479019995</v>
      </c>
    </row>
    <row r="32" spans="1:3" x14ac:dyDescent="0.2">
      <c r="C32" s="167"/>
    </row>
  </sheetData>
  <printOptions horizontalCentered="1"/>
  <pageMargins left="0.7" right="0.7" top="0.75" bottom="0.75" header="0.3" footer="0.3"/>
  <pageSetup scale="90" orientation="landscape" r:id="rId1"/>
  <headerFooter>
    <oddFooter>&amp;LPage &amp;P&amp;CNKK Corporation Case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11"/>
  <sheetViews>
    <sheetView showGridLines="0" zoomScaleNormal="100" workbookViewId="0">
      <selection activeCell="J12" sqref="J12"/>
    </sheetView>
  </sheetViews>
  <sheetFormatPr baseColWidth="10" defaultColWidth="8.83203125" defaultRowHeight="15" x14ac:dyDescent="0.2"/>
  <cols>
    <col min="1" max="1" width="35.6640625" customWidth="1"/>
    <col min="2" max="6" width="15.5" customWidth="1"/>
    <col min="7" max="7" width="10.1640625" customWidth="1"/>
  </cols>
  <sheetData>
    <row r="1" spans="1:8" x14ac:dyDescent="0.2">
      <c r="A1" s="45" t="str">
        <f>+'Income Statement'!A1</f>
        <v>NKK CORPORATION - VALUATION ANALYSIS</v>
      </c>
      <c r="B1" s="45"/>
      <c r="C1" s="45"/>
      <c r="D1" s="45"/>
      <c r="E1" s="45"/>
      <c r="F1" s="45"/>
    </row>
    <row r="2" spans="1:8" x14ac:dyDescent="0.2">
      <c r="A2" s="45" t="s">
        <v>60</v>
      </c>
      <c r="B2" s="45"/>
      <c r="C2" s="45"/>
      <c r="D2" s="45"/>
      <c r="E2" s="45"/>
      <c r="F2" s="45"/>
    </row>
    <row r="3" spans="1:8" x14ac:dyDescent="0.2">
      <c r="A3" s="47" t="str">
        <f>+'Income Statement'!A3</f>
        <v>($000)</v>
      </c>
      <c r="B3" s="47"/>
      <c r="C3" s="47"/>
      <c r="D3" s="47"/>
      <c r="E3" s="47"/>
      <c r="F3" s="47"/>
    </row>
    <row r="5" spans="1:8" ht="16" thickBot="1" x14ac:dyDescent="0.25"/>
    <row r="6" spans="1:8" x14ac:dyDescent="0.2">
      <c r="A6" s="149" t="s">
        <v>61</v>
      </c>
      <c r="B6" s="103" t="s">
        <v>62</v>
      </c>
      <c r="C6" s="103" t="s">
        <v>63</v>
      </c>
      <c r="D6" s="103" t="s">
        <v>64</v>
      </c>
      <c r="E6" s="103" t="s">
        <v>65</v>
      </c>
      <c r="F6" s="103" t="s">
        <v>66</v>
      </c>
      <c r="G6" s="104" t="s">
        <v>67</v>
      </c>
      <c r="H6" s="6" t="s">
        <v>138</v>
      </c>
    </row>
    <row r="7" spans="1:8" x14ac:dyDescent="0.2">
      <c r="A7" s="105"/>
      <c r="B7" s="94"/>
      <c r="C7" s="94"/>
      <c r="D7" s="94"/>
      <c r="E7" s="94"/>
      <c r="F7" s="94"/>
      <c r="G7" s="15"/>
    </row>
    <row r="8" spans="1:8" x14ac:dyDescent="0.2">
      <c r="A8" s="105" t="s">
        <v>68</v>
      </c>
      <c r="B8" s="145">
        <v>0.48</v>
      </c>
      <c r="C8" s="145">
        <v>0.39</v>
      </c>
      <c r="D8" s="145">
        <v>0.39</v>
      </c>
      <c r="E8" s="145">
        <v>0.47</v>
      </c>
      <c r="F8" s="145">
        <v>0.79</v>
      </c>
      <c r="G8" s="146">
        <f>AVERAGE(B8:F8)</f>
        <v>0.504</v>
      </c>
      <c r="H8" s="170">
        <f>AVERAGE(B8,E8,F8)</f>
        <v>0.57999999999999996</v>
      </c>
    </row>
    <row r="9" spans="1:8" x14ac:dyDescent="0.2">
      <c r="A9" s="105" t="s">
        <v>69</v>
      </c>
      <c r="B9" s="147">
        <v>0.35799999999999998</v>
      </c>
      <c r="C9" s="147">
        <v>0.95899999999999996</v>
      </c>
      <c r="D9" s="147">
        <v>0.50900000000000001</v>
      </c>
      <c r="E9" s="147">
        <v>0.27700000000000002</v>
      </c>
      <c r="F9" s="147">
        <v>0.20200000000000001</v>
      </c>
      <c r="G9" s="146">
        <f>AVERAGE(B9:F9)</f>
        <v>0.46100000000000002</v>
      </c>
      <c r="H9" s="170">
        <f>AVERAGE(B9,E9,F9)</f>
        <v>0.27899999999999997</v>
      </c>
    </row>
    <row r="10" spans="1:8" ht="16" thickBot="1" x14ac:dyDescent="0.25">
      <c r="A10" s="107" t="s">
        <v>70</v>
      </c>
      <c r="B10" s="148">
        <f>1-B9</f>
        <v>0.64200000000000002</v>
      </c>
      <c r="C10" s="148">
        <f>1-C9</f>
        <v>4.1000000000000036E-2</v>
      </c>
      <c r="D10" s="148">
        <f>1-D9</f>
        <v>0.49099999999999999</v>
      </c>
      <c r="E10" s="148">
        <f>1-E9</f>
        <v>0.72299999999999998</v>
      </c>
      <c r="F10" s="148">
        <f>1-F9</f>
        <v>0.79800000000000004</v>
      </c>
      <c r="G10" s="166">
        <f>AVERAGE(B10:F10)</f>
        <v>0.53899999999999992</v>
      </c>
      <c r="H10" s="170">
        <f>AVERAGE(B10,E10,F10)</f>
        <v>0.72100000000000009</v>
      </c>
    </row>
    <row r="11" spans="1:8" x14ac:dyDescent="0.2">
      <c r="A11" s="94"/>
      <c r="B11" s="94"/>
      <c r="C11" s="94"/>
      <c r="D11" s="94"/>
      <c r="E11" s="94"/>
      <c r="F11" s="94"/>
    </row>
  </sheetData>
  <printOptions horizontalCentered="1"/>
  <pageMargins left="0.7" right="0.7" top="0.75" bottom="0.75" header="0.3" footer="0.3"/>
  <pageSetup scale="75" orientation="landscape" r:id="rId1"/>
  <headerFooter>
    <oddFooter>&amp;LPage &amp;P&amp;CNKK Corporation Case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24"/>
  <sheetViews>
    <sheetView showGridLines="0" zoomScaleNormal="100" workbookViewId="0">
      <selection activeCell="H26" sqref="H26"/>
    </sheetView>
  </sheetViews>
  <sheetFormatPr baseColWidth="10" defaultColWidth="8.83203125" defaultRowHeight="15" x14ac:dyDescent="0.2"/>
  <cols>
    <col min="1" max="1" width="38.5" customWidth="1"/>
    <col min="2" max="2" width="14.6640625" bestFit="1" customWidth="1"/>
    <col min="3" max="5" width="13.6640625" customWidth="1"/>
    <col min="6" max="6" width="2.5" customWidth="1"/>
    <col min="8" max="8" width="23.5" bestFit="1" customWidth="1"/>
    <col min="9" max="9" width="15.6640625" bestFit="1" customWidth="1"/>
    <col min="11" max="12" width="14.6640625" bestFit="1" customWidth="1"/>
  </cols>
  <sheetData>
    <row r="1" spans="1:14" x14ac:dyDescent="0.2">
      <c r="A1" s="45" t="str">
        <f>+'Income Statement'!A1</f>
        <v>NKK CORPORATION - VALUATION ANALYSIS</v>
      </c>
      <c r="B1" s="46"/>
      <c r="C1" s="46"/>
      <c r="D1" s="46"/>
      <c r="E1" s="46"/>
      <c r="F1" s="94"/>
      <c r="G1" s="94"/>
      <c r="H1" s="94"/>
      <c r="I1" s="94"/>
      <c r="J1" s="94"/>
      <c r="K1" s="94"/>
      <c r="L1" s="94"/>
      <c r="M1" s="94"/>
      <c r="N1" s="94"/>
    </row>
    <row r="2" spans="1:14" x14ac:dyDescent="0.2">
      <c r="A2" s="45" t="s">
        <v>71</v>
      </c>
      <c r="B2" s="46"/>
      <c r="C2" s="46"/>
      <c r="D2" s="46"/>
      <c r="E2" s="46"/>
      <c r="F2" s="94"/>
      <c r="G2" s="94"/>
      <c r="H2" s="94"/>
      <c r="I2" s="94"/>
      <c r="J2" s="94"/>
      <c r="K2" s="94"/>
      <c r="L2" s="94"/>
      <c r="M2" s="94"/>
      <c r="N2" s="94"/>
    </row>
    <row r="3" spans="1:14" x14ac:dyDescent="0.2">
      <c r="A3" s="47" t="str">
        <f>+'Income Statement'!A3</f>
        <v>($000)</v>
      </c>
      <c r="B3" s="46"/>
      <c r="C3" s="46"/>
      <c r="D3" s="46"/>
      <c r="E3" s="46"/>
      <c r="F3" s="94"/>
      <c r="G3" s="94"/>
      <c r="H3" s="94"/>
      <c r="I3" s="94"/>
      <c r="J3" s="94"/>
      <c r="K3" s="94"/>
      <c r="L3" s="94"/>
      <c r="M3" s="94"/>
      <c r="N3" s="94"/>
    </row>
    <row r="4" spans="1:14" ht="16" thickBot="1" x14ac:dyDescent="0.25">
      <c r="F4" s="94"/>
      <c r="G4" s="94"/>
      <c r="H4" s="171" t="s">
        <v>141</v>
      </c>
      <c r="I4" s="94"/>
      <c r="J4" s="94"/>
      <c r="K4" s="94"/>
      <c r="L4" s="94"/>
      <c r="M4" s="94"/>
      <c r="N4" s="94"/>
    </row>
    <row r="5" spans="1:14" x14ac:dyDescent="0.2">
      <c r="A5" s="114" t="s">
        <v>72</v>
      </c>
      <c r="B5" s="115"/>
      <c r="C5" s="115"/>
      <c r="D5" s="115"/>
      <c r="E5" s="116"/>
      <c r="H5" t="s">
        <v>140</v>
      </c>
      <c r="I5" t="s">
        <v>70</v>
      </c>
      <c r="J5" t="s">
        <v>69</v>
      </c>
      <c r="K5" t="s">
        <v>142</v>
      </c>
      <c r="L5" t="s">
        <v>143</v>
      </c>
    </row>
    <row r="6" spans="1:14" x14ac:dyDescent="0.2">
      <c r="A6" s="105" t="s">
        <v>73</v>
      </c>
      <c r="B6" s="139">
        <f>0.04738</f>
        <v>4.7379999999999999E-2</v>
      </c>
      <c r="C6" s="117"/>
      <c r="D6" s="117"/>
      <c r="E6" s="118"/>
      <c r="F6" s="64"/>
      <c r="G6" s="64"/>
      <c r="H6" s="64">
        <v>90000000</v>
      </c>
      <c r="I6" s="172">
        <f>'Recent Balance Sheet'!C30</f>
        <v>0.73190650520980005</v>
      </c>
      <c r="J6" s="172">
        <f>'Recent Balance Sheet'!C31</f>
        <v>0.26809349479019995</v>
      </c>
      <c r="K6" s="173">
        <f>$H$6*I6</f>
        <v>65871585.468882002</v>
      </c>
      <c r="L6" s="173">
        <f>$H$6*J6</f>
        <v>24128414.531117994</v>
      </c>
    </row>
    <row r="7" spans="1:14" x14ac:dyDescent="0.2">
      <c r="A7" s="105" t="s">
        <v>74</v>
      </c>
      <c r="B7" s="150">
        <v>0.1046</v>
      </c>
      <c r="C7" s="174" t="s">
        <v>145</v>
      </c>
      <c r="D7" s="117"/>
      <c r="E7" s="118"/>
      <c r="F7" s="64"/>
      <c r="G7" s="64"/>
      <c r="H7" s="64"/>
      <c r="I7" s="64"/>
      <c r="J7" s="64"/>
      <c r="K7" s="64"/>
      <c r="L7" s="64"/>
    </row>
    <row r="8" spans="1:14" x14ac:dyDescent="0.2">
      <c r="A8" s="105" t="s">
        <v>75</v>
      </c>
      <c r="B8" s="140">
        <f>Betas!H8</f>
        <v>0.57999999999999996</v>
      </c>
      <c r="C8" s="119"/>
      <c r="D8" s="119"/>
      <c r="E8" s="120"/>
      <c r="F8" s="64"/>
      <c r="G8" s="64"/>
      <c r="H8" s="64"/>
      <c r="I8" s="64"/>
      <c r="J8" s="64"/>
      <c r="K8" s="64"/>
      <c r="L8" s="64"/>
    </row>
    <row r="9" spans="1:14" ht="16" thickBot="1" x14ac:dyDescent="0.25">
      <c r="A9" s="105" t="s">
        <v>76</v>
      </c>
      <c r="B9" s="117">
        <v>0.05</v>
      </c>
      <c r="C9" s="119" t="s">
        <v>77</v>
      </c>
      <c r="D9" s="119"/>
      <c r="E9" s="120"/>
      <c r="F9" s="64"/>
      <c r="G9" s="64"/>
      <c r="H9" s="176" t="s">
        <v>147</v>
      </c>
      <c r="I9" s="177">
        <f>('Recent Balance Sheet'!C25*1000)+WACC!L6</f>
        <v>57448414.531117991</v>
      </c>
      <c r="J9" s="64"/>
      <c r="K9" s="64"/>
      <c r="L9" s="64"/>
    </row>
    <row r="10" spans="1:14" ht="16" thickBot="1" x14ac:dyDescent="0.25">
      <c r="A10" s="109" t="s">
        <v>78</v>
      </c>
      <c r="B10" s="138">
        <f>B6+(B8*B7)+B9</f>
        <v>0.15804799999999999</v>
      </c>
      <c r="C10" s="121"/>
      <c r="D10" s="121"/>
      <c r="E10" s="122"/>
      <c r="H10" s="6" t="s">
        <v>148</v>
      </c>
      <c r="I10" s="164">
        <f>B14</f>
        <v>128371585.46888199</v>
      </c>
    </row>
    <row r="11" spans="1:14" x14ac:dyDescent="0.2">
      <c r="A11" s="123"/>
      <c r="B11" s="121"/>
      <c r="C11" s="121"/>
      <c r="D11" s="121"/>
      <c r="E11" s="122"/>
      <c r="H11" t="s">
        <v>149</v>
      </c>
      <c r="I11" s="177">
        <f>I10+I9</f>
        <v>185820000</v>
      </c>
    </row>
    <row r="12" spans="1:14" x14ac:dyDescent="0.2">
      <c r="A12" s="123"/>
      <c r="B12" s="124" t="s">
        <v>79</v>
      </c>
      <c r="C12" s="121"/>
      <c r="D12" s="121"/>
      <c r="E12" s="122"/>
    </row>
    <row r="13" spans="1:14" x14ac:dyDescent="0.2">
      <c r="A13" s="125" t="s">
        <v>80</v>
      </c>
      <c r="B13" s="124" t="s">
        <v>81</v>
      </c>
      <c r="C13" s="126"/>
      <c r="D13" s="126"/>
      <c r="E13" s="127" t="s">
        <v>82</v>
      </c>
    </row>
    <row r="14" spans="1:14" x14ac:dyDescent="0.2">
      <c r="A14" s="128"/>
      <c r="B14" s="129">
        <f>('Recent Balance Sheet'!C21*1000)+WACC!K6</f>
        <v>128371585.46888199</v>
      </c>
      <c r="C14" s="175" t="s">
        <v>146</v>
      </c>
      <c r="D14" s="130"/>
      <c r="E14" s="122"/>
    </row>
    <row r="15" spans="1:14" x14ac:dyDescent="0.2">
      <c r="A15" s="131" t="s">
        <v>83</v>
      </c>
      <c r="B15" s="145" t="s">
        <v>139</v>
      </c>
      <c r="C15" s="121"/>
      <c r="D15" s="130"/>
      <c r="E15" s="141">
        <v>9.6600000000000005E-2</v>
      </c>
      <c r="F15" s="44"/>
    </row>
    <row r="16" spans="1:14" ht="19" thickBot="1" x14ac:dyDescent="0.4">
      <c r="A16" s="131" t="s">
        <v>84</v>
      </c>
      <c r="B16" s="112"/>
      <c r="C16" s="132"/>
      <c r="D16" s="133" t="s">
        <v>85</v>
      </c>
      <c r="E16" s="151">
        <v>0.25</v>
      </c>
    </row>
    <row r="17" spans="1:5" ht="20.5" customHeight="1" thickBot="1" x14ac:dyDescent="0.4">
      <c r="A17" s="105"/>
      <c r="B17" s="112"/>
      <c r="C17" s="180" t="s">
        <v>86</v>
      </c>
      <c r="D17" s="181"/>
      <c r="E17" s="137">
        <f>E15*(1-E16)</f>
        <v>7.2450000000000001E-2</v>
      </c>
    </row>
    <row r="18" spans="1:5" x14ac:dyDescent="0.2">
      <c r="A18" s="105"/>
      <c r="B18" s="94"/>
      <c r="C18" s="94"/>
      <c r="D18" s="94"/>
      <c r="E18" s="106"/>
    </row>
    <row r="19" spans="1:5" x14ac:dyDescent="0.2">
      <c r="A19" s="125" t="s">
        <v>87</v>
      </c>
      <c r="B19" s="94"/>
      <c r="C19" s="126" t="s">
        <v>88</v>
      </c>
      <c r="D19" s="126" t="s">
        <v>89</v>
      </c>
      <c r="E19" s="127" t="s">
        <v>90</v>
      </c>
    </row>
    <row r="20" spans="1:5" x14ac:dyDescent="0.2">
      <c r="A20" s="14" t="s">
        <v>91</v>
      </c>
      <c r="B20" s="110"/>
      <c r="C20" s="97">
        <f>J6</f>
        <v>0.26809349479019995</v>
      </c>
      <c r="D20" s="91">
        <f>B10</f>
        <v>0.15804799999999999</v>
      </c>
      <c r="E20" s="142">
        <f>D20*C20</f>
        <v>4.2371640664601522E-2</v>
      </c>
    </row>
    <row r="21" spans="1:5" ht="18" x14ac:dyDescent="0.35">
      <c r="A21" s="14" t="s">
        <v>92</v>
      </c>
      <c r="B21" s="111"/>
      <c r="C21" s="143">
        <f>I6</f>
        <v>0.73190650520980005</v>
      </c>
      <c r="D21" s="91">
        <f>E17</f>
        <v>7.2450000000000001E-2</v>
      </c>
      <c r="E21" s="142">
        <f>D21*C21</f>
        <v>5.3026626302450017E-2</v>
      </c>
    </row>
    <row r="22" spans="1:5" ht="19" thickBot="1" x14ac:dyDescent="0.4">
      <c r="A22" s="105" t="s">
        <v>93</v>
      </c>
      <c r="B22" s="112"/>
      <c r="C22" s="134">
        <v>1</v>
      </c>
      <c r="D22" s="94"/>
      <c r="E22" s="106"/>
    </row>
    <row r="23" spans="1:5" ht="16" thickBot="1" x14ac:dyDescent="0.25">
      <c r="A23" s="107"/>
      <c r="B23" s="108"/>
      <c r="C23" s="108"/>
      <c r="D23" s="113" t="s">
        <v>94</v>
      </c>
      <c r="E23" s="136">
        <f>SUM(E20:E21)</f>
        <v>9.5398266967051532E-2</v>
      </c>
    </row>
    <row r="24" spans="1:5" x14ac:dyDescent="0.2">
      <c r="A24" s="152" t="s">
        <v>144</v>
      </c>
    </row>
  </sheetData>
  <mergeCells count="1">
    <mergeCell ref="C17:D17"/>
  </mergeCells>
  <printOptions horizontalCentered="1"/>
  <pageMargins left="0.2" right="0.2" top="0.75" bottom="0.75" header="0.3" footer="0.3"/>
  <pageSetup orientation="landscape" r:id="rId1"/>
  <headerFooter>
    <oddFooter>&amp;LPage &amp;P&amp;CNKK Corporation Case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37"/>
  <sheetViews>
    <sheetView showGridLines="0" zoomScaleNormal="100" workbookViewId="0">
      <selection activeCell="M31" sqref="M31"/>
    </sheetView>
  </sheetViews>
  <sheetFormatPr baseColWidth="10" defaultColWidth="8.83203125" defaultRowHeight="15" x14ac:dyDescent="0.2"/>
  <cols>
    <col min="1" max="1" width="35.6640625" customWidth="1"/>
    <col min="2" max="2" width="12.1640625" bestFit="1" customWidth="1"/>
    <col min="3" max="3" width="15.6640625" bestFit="1" customWidth="1"/>
    <col min="4" max="4" width="12.5" customWidth="1"/>
    <col min="5" max="7" width="11.5" customWidth="1"/>
    <col min="8" max="11" width="13.6640625" customWidth="1"/>
  </cols>
  <sheetData>
    <row r="1" spans="1:9" x14ac:dyDescent="0.2">
      <c r="A1" s="45" t="str">
        <f>+'Income Statement'!A1</f>
        <v>NKK CORPORATION - VALUATION ANALYSIS</v>
      </c>
      <c r="B1" s="46"/>
      <c r="C1" s="46"/>
      <c r="D1" s="46"/>
      <c r="E1" s="46"/>
      <c r="F1" s="46"/>
      <c r="G1" s="46"/>
      <c r="H1" s="46"/>
    </row>
    <row r="2" spans="1:9" x14ac:dyDescent="0.2">
      <c r="A2" s="45" t="s">
        <v>95</v>
      </c>
      <c r="B2" s="45"/>
      <c r="C2" s="61"/>
      <c r="D2" s="61"/>
      <c r="E2" s="61"/>
      <c r="F2" s="61"/>
      <c r="G2" s="61"/>
      <c r="H2" s="46"/>
    </row>
    <row r="3" spans="1:9" x14ac:dyDescent="0.2">
      <c r="A3" s="47" t="str">
        <f>+'Income Statement'!A3</f>
        <v>($000)</v>
      </c>
      <c r="B3" s="56"/>
      <c r="C3" s="61" t="str">
        <f>+'Income Statement'!H3</f>
        <v>Projected</v>
      </c>
      <c r="D3" s="61" t="str">
        <f>+'Income Statement'!I3</f>
        <v>Projected</v>
      </c>
      <c r="E3" s="61" t="str">
        <f>+'Income Statement'!J3</f>
        <v>Projected</v>
      </c>
      <c r="F3" s="61" t="str">
        <f>+'Income Statement'!K3</f>
        <v>Projected</v>
      </c>
      <c r="G3" s="61" t="str">
        <f>+'Income Statement'!L3</f>
        <v>Projected</v>
      </c>
      <c r="H3" s="46">
        <v>2030</v>
      </c>
    </row>
    <row r="4" spans="1:9" x14ac:dyDescent="0.2">
      <c r="A4" s="59" t="s">
        <v>5</v>
      </c>
      <c r="B4" s="45"/>
      <c r="C4" s="54">
        <f>+'Income Statement'!H4</f>
        <v>2025</v>
      </c>
      <c r="D4" s="54">
        <f>+'Income Statement'!I4</f>
        <v>2026</v>
      </c>
      <c r="E4" s="54">
        <f>+'Income Statement'!J4</f>
        <v>2027</v>
      </c>
      <c r="F4" s="54">
        <f>+'Income Statement'!K4</f>
        <v>2028</v>
      </c>
      <c r="G4" s="54">
        <f>+'Income Statement'!L4</f>
        <v>2029</v>
      </c>
      <c r="H4" s="62" t="s">
        <v>96</v>
      </c>
    </row>
    <row r="5" spans="1:9" ht="16" thickBot="1" x14ac:dyDescent="0.25"/>
    <row r="6" spans="1:9" ht="16" thickBot="1" x14ac:dyDescent="0.25">
      <c r="B6" s="6"/>
      <c r="E6" s="6" t="s">
        <v>97</v>
      </c>
      <c r="H6" s="87">
        <v>1.7999999999999999E-2</v>
      </c>
      <c r="I6" s="7" t="s">
        <v>150</v>
      </c>
    </row>
    <row r="8" spans="1:9" x14ac:dyDescent="0.2">
      <c r="A8" t="s">
        <v>12</v>
      </c>
      <c r="C8" s="76">
        <f>'Income Statement'!H12</f>
        <v>44541.0324541765</v>
      </c>
      <c r="D8" s="76">
        <f>'Income Statement'!I12</f>
        <v>48522.957696114237</v>
      </c>
      <c r="E8" s="76">
        <f>'Income Statement'!J12</f>
        <v>52444.774110712933</v>
      </c>
      <c r="F8" s="76">
        <f>'Income Statement'!K12</f>
        <v>56316.212642399034</v>
      </c>
      <c r="G8" s="76">
        <f>'Income Statement'!L12</f>
        <v>60146.648339052008</v>
      </c>
      <c r="H8" s="76">
        <f>'Income Statement'!M12</f>
        <v>63944.551130360836</v>
      </c>
    </row>
    <row r="9" spans="1:9" x14ac:dyDescent="0.2">
      <c r="A9" t="s">
        <v>13</v>
      </c>
      <c r="C9" s="88">
        <f>'Income Statement'!H13</f>
        <v>4750</v>
      </c>
      <c r="D9" s="88">
        <f>'Income Statement'!I13</f>
        <v>4877.5547559481802</v>
      </c>
      <c r="E9" s="88">
        <f>'Income Statement'!J13</f>
        <v>5007.2045196720719</v>
      </c>
      <c r="F9" s="88">
        <f>'Income Statement'!K13</f>
        <v>5138.9486989315119</v>
      </c>
      <c r="G9" s="88">
        <f>'Income Statement'!L13</f>
        <v>5272.7859221391718</v>
      </c>
      <c r="H9" s="88">
        <f>'Income Statement'!M13</f>
        <v>5408.714040160984</v>
      </c>
      <c r="I9" s="66"/>
    </row>
    <row r="10" spans="1:9" x14ac:dyDescent="0.2">
      <c r="A10" t="s">
        <v>14</v>
      </c>
      <c r="C10" s="71">
        <f>'Income Statement'!H14</f>
        <v>39791.0324541765</v>
      </c>
      <c r="D10" s="71">
        <f>'Income Statement'!I14</f>
        <v>43645.402940166059</v>
      </c>
      <c r="E10" s="71">
        <f>'Income Statement'!J14</f>
        <v>47437.569591040861</v>
      </c>
      <c r="F10" s="71">
        <f>'Income Statement'!K14</f>
        <v>51177.263943467522</v>
      </c>
      <c r="G10" s="71">
        <f>'Income Statement'!L14</f>
        <v>54873.862416912838</v>
      </c>
      <c r="H10" s="71">
        <f>'Income Statement'!M14</f>
        <v>58535.83709019985</v>
      </c>
    </row>
    <row r="11" spans="1:9" x14ac:dyDescent="0.2">
      <c r="A11" t="s">
        <v>15</v>
      </c>
      <c r="B11" s="63"/>
      <c r="C11" s="88">
        <f t="shared" ref="C11:H11" si="0">C10*0.25</f>
        <v>9947.7581135441251</v>
      </c>
      <c r="D11" s="88">
        <f t="shared" si="0"/>
        <v>10911.350735041515</v>
      </c>
      <c r="E11" s="88">
        <f t="shared" si="0"/>
        <v>11859.392397760215</v>
      </c>
      <c r="F11" s="88">
        <f t="shared" si="0"/>
        <v>12794.315985866881</v>
      </c>
      <c r="G11" s="88">
        <f t="shared" si="0"/>
        <v>13718.465604228209</v>
      </c>
      <c r="H11" s="88">
        <f t="shared" si="0"/>
        <v>14633.959272549962</v>
      </c>
    </row>
    <row r="12" spans="1:9" x14ac:dyDescent="0.2">
      <c r="A12" t="s">
        <v>98</v>
      </c>
      <c r="C12" s="89">
        <f t="shared" ref="C12:H12" si="1">C10-C11</f>
        <v>29843.274340632375</v>
      </c>
      <c r="D12" s="89">
        <f t="shared" si="1"/>
        <v>32734.052205124543</v>
      </c>
      <c r="E12" s="89">
        <f t="shared" si="1"/>
        <v>35578.177193280644</v>
      </c>
      <c r="F12" s="89">
        <f t="shared" si="1"/>
        <v>38382.947957600642</v>
      </c>
      <c r="G12" s="89">
        <f t="shared" si="1"/>
        <v>41155.39681268463</v>
      </c>
      <c r="H12" s="89">
        <f t="shared" si="1"/>
        <v>43901.877817649889</v>
      </c>
    </row>
    <row r="14" spans="1:9" x14ac:dyDescent="0.2">
      <c r="A14" t="s">
        <v>99</v>
      </c>
      <c r="C14" s="89">
        <f t="shared" ref="C14:H14" si="2">C9</f>
        <v>4750</v>
      </c>
      <c r="D14" s="89">
        <f t="shared" si="2"/>
        <v>4877.5547559481802</v>
      </c>
      <c r="E14" s="89">
        <f t="shared" si="2"/>
        <v>5007.2045196720719</v>
      </c>
      <c r="F14" s="89">
        <f t="shared" si="2"/>
        <v>5138.9486989315119</v>
      </c>
      <c r="G14" s="89">
        <f t="shared" si="2"/>
        <v>5272.7859221391718</v>
      </c>
      <c r="H14" s="89">
        <f t="shared" si="2"/>
        <v>5408.714040160984</v>
      </c>
    </row>
    <row r="15" spans="1:9" x14ac:dyDescent="0.2">
      <c r="A15" t="s">
        <v>100</v>
      </c>
      <c r="C15" s="71">
        <f>' Working Capital - Fixed Assets'!H16</f>
        <v>-3976.4747811303705</v>
      </c>
      <c r="D15" s="71">
        <f>' Working Capital - Fixed Assets'!I16</f>
        <v>-4273.6085635042782</v>
      </c>
      <c r="E15" s="71">
        <f>' Working Capital - Fixed Assets'!J16</f>
        <v>-4592.9450478912304</v>
      </c>
      <c r="F15" s="71">
        <f>' Working Capital - Fixed Assets'!K16</f>
        <v>-4936.143284880297</v>
      </c>
      <c r="G15" s="71">
        <f>' Working Capital - Fixed Assets'!L16</f>
        <v>-5304.9862941547372</v>
      </c>
      <c r="H15" s="71">
        <f>' Working Capital - Fixed Assets'!M16</f>
        <v>-5701.3903278239386</v>
      </c>
    </row>
    <row r="16" spans="1:9" x14ac:dyDescent="0.2">
      <c r="A16" t="s">
        <v>101</v>
      </c>
      <c r="C16" s="88">
        <f>' Working Capital - Fixed Assets'!H28</f>
        <v>22404</v>
      </c>
      <c r="D16" s="88">
        <f>' Working Capital - Fixed Assets'!I28</f>
        <v>22404</v>
      </c>
      <c r="E16" s="88">
        <f>' Working Capital - Fixed Assets'!J28</f>
        <v>22404</v>
      </c>
      <c r="F16" s="88">
        <f>' Working Capital - Fixed Assets'!K28</f>
        <v>22404</v>
      </c>
      <c r="G16" s="88">
        <f>' Working Capital - Fixed Assets'!L28</f>
        <v>22404</v>
      </c>
      <c r="H16" s="88">
        <f>' Working Capital - Fixed Assets'!G28</f>
        <v>7390</v>
      </c>
    </row>
    <row r="18" spans="1:8" x14ac:dyDescent="0.2">
      <c r="F18" t="s">
        <v>102</v>
      </c>
      <c r="H18" s="89">
        <f>H12+H14-H15-H16</f>
        <v>47621.982185634814</v>
      </c>
    </row>
    <row r="19" spans="1:8" x14ac:dyDescent="0.2">
      <c r="F19" t="s">
        <v>94</v>
      </c>
      <c r="H19" s="90">
        <f>WACC!E23</f>
        <v>9.5398266967051532E-2</v>
      </c>
    </row>
    <row r="20" spans="1:8" x14ac:dyDescent="0.2">
      <c r="F20" t="s">
        <v>103</v>
      </c>
      <c r="H20" s="91">
        <f>H6</f>
        <v>1.7999999999999999E-2</v>
      </c>
    </row>
    <row r="21" spans="1:8" x14ac:dyDescent="0.2">
      <c r="F21" t="s">
        <v>104</v>
      </c>
      <c r="H21" s="91"/>
    </row>
    <row r="23" spans="1:8" x14ac:dyDescent="0.2">
      <c r="A23" t="s">
        <v>105</v>
      </c>
      <c r="C23" s="76">
        <f t="shared" ref="C23:H23" si="3">C12+C14-C15-C16</f>
        <v>16165.749121762739</v>
      </c>
      <c r="D23" s="76">
        <f t="shared" si="3"/>
        <v>19481.215524576997</v>
      </c>
      <c r="E23" s="76">
        <f t="shared" si="3"/>
        <v>22774.326760843949</v>
      </c>
      <c r="F23" s="76">
        <f t="shared" si="3"/>
        <v>26054.039941412448</v>
      </c>
      <c r="G23" s="76">
        <f t="shared" si="3"/>
        <v>29329.16902897854</v>
      </c>
      <c r="H23" s="76">
        <f t="shared" si="3"/>
        <v>47621.982185634814</v>
      </c>
    </row>
    <row r="24" spans="1:8" x14ac:dyDescent="0.2">
      <c r="A24" t="s">
        <v>152</v>
      </c>
      <c r="C24" s="76">
        <f>C23/(1+$H$19)^(C4-2025)</f>
        <v>16165.749121762739</v>
      </c>
      <c r="D24" s="76">
        <f t="shared" ref="D24:G24" si="4">D23/(1+$H$19)^(D4-2025)</f>
        <v>17784.595897268271</v>
      </c>
      <c r="E24" s="76">
        <f t="shared" si="4"/>
        <v>18980.229024501492</v>
      </c>
      <c r="F24" s="76">
        <f t="shared" si="4"/>
        <v>19822.522802567259</v>
      </c>
      <c r="G24" s="76">
        <f t="shared" si="4"/>
        <v>20370.9630248924</v>
      </c>
      <c r="H24" s="76">
        <f>H23/(1+$H$19)^(2030-2025)</f>
        <v>30195.847318916443</v>
      </c>
    </row>
    <row r="25" spans="1:8" x14ac:dyDescent="0.2">
      <c r="A25" t="s">
        <v>153</v>
      </c>
      <c r="B25" s="164">
        <f>SUM(C24:H24)</f>
        <v>123319.90718990858</v>
      </c>
      <c r="C25" s="2"/>
      <c r="D25" s="2"/>
      <c r="E25" s="2"/>
      <c r="F25" s="2"/>
      <c r="G25" s="2"/>
      <c r="H25" s="2"/>
    </row>
    <row r="26" spans="1:8" x14ac:dyDescent="0.2">
      <c r="A26" t="s">
        <v>151</v>
      </c>
      <c r="B26" s="177">
        <f>H23/($H$19-$H$20)</f>
        <v>615284.86427102447</v>
      </c>
    </row>
    <row r="27" spans="1:8" x14ac:dyDescent="0.2">
      <c r="A27" t="s">
        <v>154</v>
      </c>
      <c r="B27" s="177">
        <f>B26/(1+H19)^5</f>
        <v>390135.96172341722</v>
      </c>
    </row>
    <row r="28" spans="1:8" x14ac:dyDescent="0.2">
      <c r="A28" t="s">
        <v>155</v>
      </c>
      <c r="B28" s="177">
        <f>B25+B27</f>
        <v>513455.86891332583</v>
      </c>
    </row>
    <row r="31" spans="1:8" x14ac:dyDescent="0.2">
      <c r="A31" s="4" t="s">
        <v>106</v>
      </c>
    </row>
    <row r="32" spans="1:8" x14ac:dyDescent="0.2">
      <c r="A32" s="6" t="s">
        <v>155</v>
      </c>
      <c r="B32" s="6"/>
      <c r="C32" s="92">
        <f>B28</f>
        <v>513455.86891332583</v>
      </c>
    </row>
    <row r="33" spans="1:7" x14ac:dyDescent="0.2">
      <c r="A33" t="s">
        <v>107</v>
      </c>
      <c r="B33" s="6"/>
      <c r="C33" s="74">
        <f>WACC!B14/1000</f>
        <v>128371.585468882</v>
      </c>
      <c r="D33" t="s">
        <v>108</v>
      </c>
      <c r="G33" s="178"/>
    </row>
    <row r="34" spans="1:7" ht="18" x14ac:dyDescent="0.35">
      <c r="A34" t="s">
        <v>109</v>
      </c>
      <c r="C34" s="84">
        <f>'Recent Balance Sheet'!C5</f>
        <v>5437</v>
      </c>
      <c r="D34" t="s">
        <v>110</v>
      </c>
    </row>
    <row r="35" spans="1:7" ht="18" x14ac:dyDescent="0.35">
      <c r="A35" s="6" t="s">
        <v>111</v>
      </c>
      <c r="B35" s="6"/>
      <c r="C35" s="93">
        <f>C32-C33+C34</f>
        <v>390521.28344444383</v>
      </c>
    </row>
    <row r="37" spans="1:7" x14ac:dyDescent="0.2">
      <c r="C37" s="177"/>
    </row>
  </sheetData>
  <printOptions horizontalCentered="1"/>
  <pageMargins left="0.7" right="0.7" top="0.75" bottom="0.75" header="0.3" footer="0.3"/>
  <pageSetup scale="75" orientation="landscape" r:id="rId1"/>
  <headerFooter>
    <oddFooter>&amp;LPage &amp;P&amp;CNKK Corporation Case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8"/>
  <sheetViews>
    <sheetView showGridLines="0" zoomScaleNormal="100" workbookViewId="0">
      <selection activeCell="A33" sqref="A33"/>
    </sheetView>
  </sheetViews>
  <sheetFormatPr baseColWidth="10" defaultColWidth="8.83203125" defaultRowHeight="15" x14ac:dyDescent="0.2"/>
  <cols>
    <col min="1" max="1" width="35.6640625" customWidth="1"/>
    <col min="2" max="2" width="19" bestFit="1" customWidth="1"/>
    <col min="3" max="6" width="15.5" customWidth="1"/>
  </cols>
  <sheetData>
    <row r="1" spans="1:6" x14ac:dyDescent="0.2">
      <c r="A1" s="45" t="str">
        <f>+'Income Statement'!A1</f>
        <v>NKK CORPORATION - VALUATION ANALYSIS</v>
      </c>
      <c r="B1" s="45"/>
      <c r="C1" s="45"/>
      <c r="D1" s="45"/>
      <c r="E1" s="45"/>
      <c r="F1" s="45"/>
    </row>
    <row r="2" spans="1:6" x14ac:dyDescent="0.2">
      <c r="A2" s="45" t="s">
        <v>112</v>
      </c>
      <c r="B2" s="45"/>
      <c r="C2" s="45"/>
      <c r="D2" s="45"/>
      <c r="E2" s="45"/>
      <c r="F2" s="45"/>
    </row>
    <row r="3" spans="1:6" x14ac:dyDescent="0.2">
      <c r="A3" s="47" t="str">
        <f>+'Income Statement'!A3</f>
        <v>($000)</v>
      </c>
      <c r="B3" s="47"/>
      <c r="C3" s="47"/>
      <c r="D3" s="47"/>
      <c r="E3" s="47"/>
      <c r="F3" s="47"/>
    </row>
    <row r="5" spans="1:6" ht="16" thickBot="1" x14ac:dyDescent="0.25"/>
    <row r="6" spans="1:6" x14ac:dyDescent="0.2">
      <c r="A6" s="135" t="s">
        <v>113</v>
      </c>
      <c r="B6" s="103" t="s">
        <v>62</v>
      </c>
      <c r="C6" s="103" t="s">
        <v>63</v>
      </c>
      <c r="D6" s="103" t="s">
        <v>64</v>
      </c>
      <c r="E6" s="103" t="s">
        <v>65</v>
      </c>
      <c r="F6" s="104" t="s">
        <v>66</v>
      </c>
    </row>
    <row r="7" spans="1:6" x14ac:dyDescent="0.2">
      <c r="A7" s="105"/>
      <c r="B7" s="94"/>
      <c r="C7" s="94"/>
      <c r="D7" s="94"/>
      <c r="E7" s="94"/>
      <c r="F7" s="106"/>
    </row>
    <row r="8" spans="1:6" x14ac:dyDescent="0.2">
      <c r="A8" s="14"/>
      <c r="F8" s="15"/>
    </row>
    <row r="9" spans="1:6" x14ac:dyDescent="0.2">
      <c r="A9" s="18" t="s">
        <v>114</v>
      </c>
      <c r="F9" s="15"/>
    </row>
    <row r="10" spans="1:6" x14ac:dyDescent="0.2">
      <c r="A10" s="14" t="s">
        <v>115</v>
      </c>
      <c r="B10" s="74">
        <v>9.1</v>
      </c>
      <c r="C10" s="74">
        <v>16.8</v>
      </c>
      <c r="D10" s="74">
        <v>7.9</v>
      </c>
      <c r="E10" s="74">
        <v>8.8000000000000007</v>
      </c>
      <c r="F10" s="75">
        <v>8.3000000000000007</v>
      </c>
    </row>
    <row r="11" spans="1:6" ht="16" thickBot="1" x14ac:dyDescent="0.25">
      <c r="A11" s="16" t="s">
        <v>116</v>
      </c>
      <c r="B11" s="96">
        <v>8.5299999999999994</v>
      </c>
      <c r="C11" s="96">
        <v>16.93</v>
      </c>
      <c r="D11" s="96">
        <v>8.94</v>
      </c>
      <c r="E11" s="96">
        <v>9.52</v>
      </c>
      <c r="F11" s="144">
        <v>8.77</v>
      </c>
    </row>
    <row r="13" spans="1:6" ht="16" thickBot="1" x14ac:dyDescent="0.25"/>
    <row r="14" spans="1:6" x14ac:dyDescent="0.2">
      <c r="A14" s="10" t="s">
        <v>117</v>
      </c>
      <c r="B14" s="72" t="s">
        <v>156</v>
      </c>
      <c r="C14" s="73" t="s">
        <v>157</v>
      </c>
    </row>
    <row r="15" spans="1:6" x14ac:dyDescent="0.2">
      <c r="A15" s="14" t="s">
        <v>118</v>
      </c>
      <c r="B15" s="80">
        <f>'Income Statement'!G12</f>
        <v>40490</v>
      </c>
      <c r="C15" s="81">
        <f>B15</f>
        <v>40490</v>
      </c>
      <c r="D15" s="164"/>
    </row>
    <row r="16" spans="1:6" x14ac:dyDescent="0.2">
      <c r="A16" s="77" t="s">
        <v>119</v>
      </c>
      <c r="B16" s="78">
        <f>AVERAGE(B10:F10)</f>
        <v>10.179999999999998</v>
      </c>
      <c r="C16" s="79">
        <f>AVERAGE(B11:F11)</f>
        <v>10.538</v>
      </c>
      <c r="D16" s="163"/>
    </row>
    <row r="17" spans="1:4" x14ac:dyDescent="0.2">
      <c r="A17" s="14" t="s">
        <v>155</v>
      </c>
      <c r="B17" s="82">
        <f>B15*B16</f>
        <v>412188.1999999999</v>
      </c>
      <c r="C17" s="83">
        <f>C15*C16</f>
        <v>426683.62</v>
      </c>
    </row>
    <row r="18" spans="1:4" x14ac:dyDescent="0.2">
      <c r="A18" s="14" t="s">
        <v>120</v>
      </c>
      <c r="B18" s="74">
        <f>DCFCF!C33</f>
        <v>128371.585468882</v>
      </c>
      <c r="C18" s="83">
        <f t="shared" ref="C18:C19" si="0">B18</f>
        <v>128371.585468882</v>
      </c>
      <c r="D18" s="12"/>
    </row>
    <row r="19" spans="1:4" ht="18" x14ac:dyDescent="0.35">
      <c r="A19" s="14" t="s">
        <v>121</v>
      </c>
      <c r="B19" s="84">
        <f>DCFCF!C34</f>
        <v>5437</v>
      </c>
      <c r="C19" s="83">
        <f t="shared" si="0"/>
        <v>5437</v>
      </c>
      <c r="D19" s="12"/>
    </row>
    <row r="20" spans="1:4" ht="16" thickBot="1" x14ac:dyDescent="0.25">
      <c r="A20" s="16" t="s">
        <v>122</v>
      </c>
      <c r="B20" s="85">
        <f>B17-B18+B19</f>
        <v>289253.6145311179</v>
      </c>
      <c r="C20" s="86">
        <f>C17-C18+C19</f>
        <v>303749.034531118</v>
      </c>
      <c r="D20" s="179"/>
    </row>
    <row r="22" spans="1:4" x14ac:dyDescent="0.2">
      <c r="A22" t="s">
        <v>123</v>
      </c>
    </row>
    <row r="23" spans="1:4" x14ac:dyDescent="0.2">
      <c r="A23" t="s">
        <v>124</v>
      </c>
    </row>
    <row r="24" spans="1:4" x14ac:dyDescent="0.2">
      <c r="B24" s="6"/>
    </row>
    <row r="25" spans="1:4" x14ac:dyDescent="0.2">
      <c r="B25" s="177">
        <f>B20*1000</f>
        <v>289253614.53111792</v>
      </c>
      <c r="C25" s="177">
        <f>C20*1000</f>
        <v>303749034.53111798</v>
      </c>
      <c r="D25">
        <f>DCFCF!C35*1000</f>
        <v>390521283.44444382</v>
      </c>
    </row>
    <row r="28" spans="1:4" x14ac:dyDescent="0.2">
      <c r="A28" s="6" t="s">
        <v>158</v>
      </c>
      <c r="B28" s="177">
        <f>AVERAGE(B25:D25)</f>
        <v>327841310.8355599</v>
      </c>
    </row>
  </sheetData>
  <printOptions horizontalCentered="1"/>
  <pageMargins left="0.7" right="0.7" top="0.75" bottom="0.75" header="0.3" footer="0.3"/>
  <pageSetup orientation="landscape" r:id="rId1"/>
  <headerFooter>
    <oddFooter>&amp;LPage &amp;P&amp;CNKK Corporation Case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Income Statement</vt:lpstr>
      <vt:lpstr> Working Capital - Fixed Assets</vt:lpstr>
      <vt:lpstr>Recent Balance Sheet</vt:lpstr>
      <vt:lpstr>Betas</vt:lpstr>
      <vt:lpstr>WACC</vt:lpstr>
      <vt:lpstr>DCFCF</vt:lpstr>
      <vt:lpstr>Market Approach</vt:lpstr>
      <vt:lpstr>' Working Capital - Fixed Assets'!Print_Area</vt:lpstr>
      <vt:lpstr>DCFCF!Print_Area</vt:lpstr>
      <vt:lpstr>'Income Statement'!Print_Area</vt:lpstr>
      <vt:lpstr>'Market Approach'!Print_Area</vt:lpstr>
      <vt:lpstr>'Recent Balance Sheet'!Print_Area</vt:lpstr>
      <vt:lpstr>WACC!Print_Area</vt:lpstr>
    </vt:vector>
  </TitlesOfParts>
  <Manager/>
  <Company>Stout Risius Ross,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Kenny</dc:creator>
  <cp:keywords/>
  <dc:description/>
  <cp:lastModifiedBy>Igwebe, Zachary</cp:lastModifiedBy>
  <cp:revision/>
  <dcterms:created xsi:type="dcterms:W3CDTF">2018-12-28T18:42:26Z</dcterms:created>
  <dcterms:modified xsi:type="dcterms:W3CDTF">2025-06-17T15:47:24Z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{9AC79F6B-AE68-4440-9EC6-991F2669AE78}</vt:lpwstr>
  </property>
</Properties>
</file>