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0"/>
  <workbookPr/>
  <mc:AlternateContent xmlns:mc="http://schemas.openxmlformats.org/markup-compatibility/2006">
    <mc:Choice Requires="x15">
      <x15ac:absPath xmlns:x15ac="http://schemas.microsoft.com/office/spreadsheetml/2010/11/ac" url="/Users/owenhuang/Desktop/Data Science/Real Estate/"/>
    </mc:Choice>
  </mc:AlternateContent>
  <xr:revisionPtr revIDLastSave="0" documentId="13_ncr:1_{BD490386-343F-FC48-AF90-D3E315B99C3F}" xr6:coauthVersionLast="47" xr6:coauthVersionMax="47" xr10:uidLastSave="{00000000-0000-0000-0000-000000000000}"/>
  <bookViews>
    <workbookView xWindow="0" yWindow="760" windowWidth="30240" windowHeight="18880" xr2:uid="{00000000-000D-0000-FFFF-FFFF00000000}"/>
  </bookViews>
  <sheets>
    <sheet name="report generated at 0147pm on 2"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338" i="1" l="1"/>
  <c r="Q338" i="1"/>
  <c r="P338" i="1"/>
  <c r="J338" i="1"/>
  <c r="I338" i="1"/>
  <c r="H338" i="1"/>
  <c r="G338" i="1"/>
  <c r="T337" i="1"/>
  <c r="Q337" i="1"/>
  <c r="P337" i="1"/>
  <c r="J337" i="1"/>
  <c r="I337" i="1"/>
  <c r="H337" i="1"/>
  <c r="G337" i="1"/>
  <c r="E336" i="1"/>
  <c r="B336" i="1"/>
  <c r="B335" i="1"/>
  <c r="E334" i="1"/>
  <c r="B334" i="1"/>
  <c r="E333" i="1"/>
  <c r="B333" i="1"/>
  <c r="E332" i="1"/>
  <c r="B332" i="1"/>
  <c r="E331" i="1"/>
  <c r="B331" i="1"/>
  <c r="E330" i="1"/>
  <c r="B330" i="1"/>
  <c r="E329" i="1"/>
  <c r="B329" i="1"/>
  <c r="E328" i="1"/>
  <c r="B328" i="1"/>
  <c r="E327" i="1"/>
  <c r="B327" i="1"/>
  <c r="E326" i="1"/>
  <c r="B326" i="1"/>
  <c r="E325" i="1"/>
  <c r="B325" i="1"/>
  <c r="E324" i="1"/>
  <c r="B324" i="1"/>
  <c r="B323" i="1"/>
  <c r="E322" i="1"/>
  <c r="B322" i="1"/>
  <c r="B321" i="1"/>
  <c r="E320" i="1"/>
  <c r="B320" i="1"/>
  <c r="B319" i="1"/>
  <c r="E318" i="1"/>
  <c r="B318" i="1"/>
  <c r="E317" i="1"/>
  <c r="B317" i="1"/>
  <c r="E316" i="1"/>
  <c r="B316" i="1"/>
  <c r="E315" i="1"/>
  <c r="B315" i="1"/>
  <c r="E314" i="1"/>
  <c r="B314" i="1"/>
  <c r="E313" i="1"/>
  <c r="B313" i="1"/>
  <c r="E312" i="1"/>
  <c r="B312" i="1"/>
  <c r="E311" i="1"/>
  <c r="B311" i="1"/>
  <c r="B310" i="1"/>
  <c r="E309" i="1"/>
  <c r="B309" i="1"/>
  <c r="E308" i="1"/>
  <c r="B308" i="1"/>
  <c r="E307" i="1"/>
  <c r="B307" i="1"/>
  <c r="E306" i="1"/>
  <c r="B306" i="1"/>
  <c r="E305" i="1"/>
  <c r="B305" i="1"/>
  <c r="E304" i="1"/>
  <c r="B304" i="1"/>
  <c r="E303" i="1"/>
  <c r="B303" i="1"/>
  <c r="E302" i="1"/>
  <c r="B302" i="1"/>
  <c r="E301" i="1"/>
  <c r="B301" i="1"/>
  <c r="E300" i="1"/>
  <c r="B300" i="1"/>
  <c r="B299" i="1"/>
  <c r="B298" i="1"/>
  <c r="E297" i="1"/>
  <c r="B297" i="1"/>
  <c r="E296" i="1"/>
  <c r="B296" i="1"/>
  <c r="E295" i="1"/>
  <c r="B295" i="1"/>
  <c r="E294" i="1"/>
  <c r="B294" i="1"/>
  <c r="E293" i="1"/>
  <c r="B293" i="1"/>
  <c r="E292" i="1"/>
  <c r="B292" i="1"/>
  <c r="E291" i="1"/>
  <c r="B291" i="1"/>
  <c r="E290" i="1"/>
  <c r="B290" i="1"/>
  <c r="E289" i="1"/>
  <c r="B289" i="1"/>
  <c r="E288" i="1"/>
  <c r="B288" i="1"/>
  <c r="E287" i="1"/>
  <c r="B287" i="1"/>
  <c r="E286" i="1"/>
  <c r="B286" i="1"/>
  <c r="E285" i="1"/>
  <c r="B285" i="1"/>
  <c r="E284" i="1"/>
  <c r="B284" i="1"/>
  <c r="E283" i="1"/>
  <c r="B283" i="1"/>
  <c r="E282" i="1"/>
  <c r="B282" i="1"/>
  <c r="E281" i="1"/>
  <c r="B281" i="1"/>
  <c r="E280" i="1"/>
  <c r="B280" i="1"/>
  <c r="E279" i="1"/>
  <c r="B279" i="1"/>
  <c r="E278" i="1"/>
  <c r="B278" i="1"/>
  <c r="E277" i="1"/>
  <c r="B277" i="1"/>
  <c r="E276" i="1"/>
  <c r="B276" i="1"/>
  <c r="E275" i="1"/>
  <c r="B275" i="1"/>
  <c r="E274" i="1"/>
  <c r="B274" i="1"/>
  <c r="E273" i="1"/>
  <c r="B273" i="1"/>
  <c r="E272" i="1"/>
  <c r="B272" i="1"/>
  <c r="E271" i="1"/>
  <c r="B271" i="1"/>
  <c r="E270" i="1"/>
  <c r="B270" i="1"/>
  <c r="E269" i="1"/>
  <c r="B269" i="1"/>
  <c r="E268" i="1"/>
  <c r="B268" i="1"/>
  <c r="E267" i="1"/>
  <c r="B267" i="1"/>
  <c r="E266" i="1"/>
  <c r="B266" i="1"/>
  <c r="E265" i="1"/>
  <c r="B265" i="1"/>
  <c r="E264" i="1"/>
  <c r="B264" i="1"/>
  <c r="E263" i="1"/>
  <c r="B263" i="1"/>
  <c r="E262" i="1"/>
  <c r="B262" i="1"/>
  <c r="E261" i="1"/>
  <c r="B261" i="1"/>
  <c r="E260" i="1"/>
  <c r="B260" i="1"/>
  <c r="E259" i="1"/>
  <c r="B259" i="1"/>
  <c r="E258" i="1"/>
  <c r="B258" i="1"/>
  <c r="E257" i="1"/>
  <c r="B257" i="1"/>
  <c r="E256" i="1"/>
  <c r="B256" i="1"/>
  <c r="E255" i="1"/>
  <c r="B255" i="1"/>
  <c r="E254" i="1"/>
  <c r="B254" i="1"/>
  <c r="E253" i="1"/>
  <c r="B253" i="1"/>
  <c r="E252" i="1"/>
  <c r="B252" i="1"/>
  <c r="E251" i="1"/>
  <c r="B251" i="1"/>
  <c r="E250" i="1"/>
  <c r="B250" i="1"/>
  <c r="E249" i="1"/>
  <c r="B249" i="1"/>
  <c r="B248" i="1"/>
  <c r="E247" i="1"/>
  <c r="B247" i="1"/>
  <c r="E246" i="1"/>
  <c r="B246" i="1"/>
  <c r="E245" i="1"/>
  <c r="B245" i="1"/>
  <c r="E244" i="1"/>
  <c r="B244" i="1"/>
  <c r="E243" i="1"/>
  <c r="B243" i="1"/>
  <c r="E242" i="1"/>
  <c r="B242" i="1"/>
  <c r="E241" i="1"/>
  <c r="B241" i="1"/>
  <c r="E240" i="1"/>
  <c r="B240" i="1"/>
  <c r="E239" i="1"/>
  <c r="B239" i="1"/>
  <c r="E238" i="1"/>
  <c r="B238" i="1"/>
  <c r="E237" i="1"/>
  <c r="B237" i="1"/>
  <c r="E236" i="1"/>
  <c r="B236" i="1"/>
  <c r="E235" i="1"/>
  <c r="B235" i="1"/>
  <c r="E234" i="1"/>
  <c r="B234" i="1"/>
  <c r="E233" i="1"/>
  <c r="B233" i="1"/>
  <c r="E232" i="1"/>
  <c r="B232" i="1"/>
  <c r="E231" i="1"/>
  <c r="B231" i="1"/>
  <c r="E230" i="1"/>
  <c r="B230" i="1"/>
  <c r="E229" i="1"/>
  <c r="B229" i="1"/>
  <c r="E228" i="1"/>
  <c r="B228" i="1"/>
  <c r="E227" i="1"/>
  <c r="B227" i="1"/>
  <c r="E226" i="1"/>
  <c r="B226" i="1"/>
  <c r="E225" i="1"/>
  <c r="B225" i="1"/>
  <c r="E224" i="1"/>
  <c r="B224" i="1"/>
  <c r="E223" i="1"/>
  <c r="B223" i="1"/>
  <c r="E222" i="1"/>
  <c r="B222" i="1"/>
  <c r="E221" i="1"/>
  <c r="B221" i="1"/>
  <c r="E220" i="1"/>
  <c r="B220" i="1"/>
  <c r="E219" i="1"/>
  <c r="B219" i="1"/>
  <c r="E218" i="1"/>
  <c r="B218" i="1"/>
  <c r="E217" i="1"/>
  <c r="B217" i="1"/>
  <c r="E216" i="1"/>
  <c r="B216" i="1"/>
  <c r="E215" i="1"/>
  <c r="B215" i="1"/>
  <c r="E214" i="1"/>
  <c r="B214" i="1"/>
  <c r="E213" i="1"/>
  <c r="B213" i="1"/>
  <c r="E212" i="1"/>
  <c r="B212" i="1"/>
  <c r="B211" i="1"/>
  <c r="E210" i="1"/>
  <c r="B210" i="1"/>
  <c r="E209" i="1"/>
  <c r="B209" i="1"/>
  <c r="E208" i="1"/>
  <c r="B208" i="1"/>
  <c r="E207" i="1"/>
  <c r="B207" i="1"/>
  <c r="E206" i="1"/>
  <c r="B206" i="1"/>
  <c r="E205" i="1"/>
  <c r="B205" i="1"/>
  <c r="E204" i="1"/>
  <c r="B204" i="1"/>
  <c r="E203" i="1"/>
  <c r="B203" i="1"/>
  <c r="T199" i="1"/>
  <c r="Q199" i="1"/>
  <c r="P199" i="1"/>
  <c r="J199" i="1"/>
  <c r="I199" i="1"/>
  <c r="H199" i="1"/>
  <c r="G199" i="1"/>
  <c r="T198" i="1"/>
  <c r="Q198" i="1"/>
  <c r="P198" i="1"/>
  <c r="J198" i="1"/>
  <c r="I198" i="1"/>
  <c r="H198" i="1"/>
  <c r="G198" i="1"/>
  <c r="E197" i="1"/>
  <c r="B197" i="1"/>
  <c r="E196" i="1"/>
  <c r="B196" i="1"/>
  <c r="E195" i="1"/>
  <c r="B195" i="1"/>
  <c r="E194" i="1"/>
  <c r="B194" i="1"/>
  <c r="E193" i="1"/>
  <c r="B193" i="1"/>
  <c r="E192" i="1"/>
  <c r="B192" i="1"/>
  <c r="E191" i="1"/>
  <c r="B191" i="1"/>
  <c r="E190" i="1"/>
  <c r="B190" i="1"/>
  <c r="E189" i="1"/>
  <c r="B189" i="1"/>
  <c r="E188" i="1"/>
  <c r="B188" i="1"/>
  <c r="E187" i="1"/>
  <c r="B187" i="1"/>
  <c r="E186" i="1"/>
  <c r="B186" i="1"/>
  <c r="E185" i="1"/>
  <c r="B185" i="1"/>
  <c r="E184" i="1"/>
  <c r="B184" i="1"/>
  <c r="E183" i="1"/>
  <c r="B183" i="1"/>
  <c r="E182" i="1"/>
  <c r="B182" i="1"/>
  <c r="E181" i="1"/>
  <c r="B181" i="1"/>
  <c r="E180" i="1"/>
  <c r="B180" i="1"/>
  <c r="E179" i="1"/>
  <c r="B179" i="1"/>
  <c r="E178" i="1"/>
  <c r="B178" i="1"/>
  <c r="E177" i="1"/>
  <c r="B177" i="1"/>
  <c r="E176" i="1"/>
  <c r="B176" i="1"/>
  <c r="E175" i="1"/>
  <c r="B175" i="1"/>
  <c r="B174" i="1"/>
  <c r="E173" i="1"/>
  <c r="B173" i="1"/>
  <c r="E172" i="1"/>
  <c r="B172" i="1"/>
  <c r="E171" i="1"/>
  <c r="B171" i="1"/>
  <c r="E170" i="1"/>
  <c r="B170" i="1"/>
  <c r="E169" i="1"/>
  <c r="B169" i="1"/>
  <c r="E168" i="1"/>
  <c r="B168" i="1"/>
  <c r="B167" i="1"/>
  <c r="E166" i="1"/>
  <c r="B166" i="1"/>
  <c r="E165" i="1"/>
  <c r="B165" i="1"/>
  <c r="E164" i="1"/>
  <c r="B164" i="1"/>
  <c r="E163" i="1"/>
  <c r="B163" i="1"/>
  <c r="E162" i="1"/>
  <c r="B162" i="1"/>
  <c r="E161" i="1"/>
  <c r="B161" i="1"/>
  <c r="E160" i="1"/>
  <c r="B160" i="1"/>
  <c r="E159" i="1"/>
  <c r="B159" i="1"/>
  <c r="E158" i="1"/>
  <c r="B158" i="1"/>
  <c r="E157" i="1"/>
  <c r="B157" i="1"/>
  <c r="E156" i="1"/>
  <c r="B156" i="1"/>
  <c r="E155" i="1"/>
  <c r="B155" i="1"/>
  <c r="E154" i="1"/>
  <c r="B154" i="1"/>
  <c r="E153" i="1"/>
  <c r="B153" i="1"/>
  <c r="E152" i="1"/>
  <c r="B152" i="1"/>
  <c r="E151" i="1"/>
  <c r="B151" i="1"/>
  <c r="E150" i="1"/>
  <c r="B150" i="1"/>
  <c r="E149" i="1"/>
  <c r="B149" i="1"/>
  <c r="E148" i="1"/>
  <c r="B148" i="1"/>
  <c r="E147" i="1"/>
  <c r="B147" i="1"/>
  <c r="E146" i="1"/>
  <c r="B146" i="1"/>
  <c r="E145" i="1"/>
  <c r="B145" i="1"/>
  <c r="E144" i="1"/>
  <c r="B144" i="1"/>
  <c r="E143" i="1"/>
  <c r="B143" i="1"/>
  <c r="E142" i="1"/>
  <c r="B142" i="1"/>
  <c r="E141" i="1"/>
  <c r="B141" i="1"/>
  <c r="E140" i="1"/>
  <c r="B140" i="1"/>
  <c r="E139" i="1"/>
  <c r="B139" i="1"/>
  <c r="E138" i="1"/>
  <c r="B138" i="1"/>
  <c r="E137" i="1"/>
  <c r="B137" i="1"/>
  <c r="E136" i="1"/>
  <c r="B136" i="1"/>
  <c r="E135" i="1"/>
  <c r="B135" i="1"/>
  <c r="E134" i="1"/>
  <c r="B134" i="1"/>
  <c r="E133" i="1"/>
  <c r="B133" i="1"/>
  <c r="E132" i="1"/>
  <c r="B132" i="1"/>
  <c r="E131" i="1"/>
  <c r="B131" i="1"/>
  <c r="E130" i="1"/>
  <c r="B130" i="1"/>
  <c r="E129" i="1"/>
  <c r="B129" i="1"/>
  <c r="E128" i="1"/>
  <c r="B128" i="1"/>
  <c r="E127" i="1"/>
  <c r="B127" i="1"/>
  <c r="E126" i="1"/>
  <c r="B126" i="1"/>
  <c r="E125" i="1"/>
  <c r="B125" i="1"/>
  <c r="E124" i="1"/>
  <c r="B124" i="1"/>
  <c r="E123" i="1"/>
  <c r="B123" i="1"/>
  <c r="E122" i="1"/>
  <c r="B122" i="1"/>
  <c r="E121" i="1"/>
  <c r="B121" i="1"/>
  <c r="E120" i="1"/>
  <c r="B120" i="1"/>
  <c r="E119" i="1"/>
  <c r="B119" i="1"/>
  <c r="E118" i="1"/>
  <c r="B118" i="1"/>
  <c r="E117" i="1"/>
  <c r="B117" i="1"/>
  <c r="E116" i="1"/>
  <c r="B116" i="1"/>
  <c r="E115" i="1"/>
  <c r="B115" i="1"/>
  <c r="E114" i="1"/>
  <c r="B114" i="1"/>
  <c r="E113" i="1"/>
  <c r="B113" i="1"/>
  <c r="E112" i="1"/>
  <c r="B112" i="1"/>
  <c r="E111" i="1"/>
  <c r="B111" i="1"/>
  <c r="E110" i="1"/>
  <c r="B110" i="1"/>
  <c r="E109" i="1"/>
  <c r="B109" i="1"/>
  <c r="E108" i="1"/>
  <c r="B108" i="1"/>
  <c r="E107" i="1"/>
  <c r="B107" i="1"/>
  <c r="E106" i="1"/>
  <c r="B106" i="1"/>
  <c r="E105" i="1"/>
  <c r="B105" i="1"/>
  <c r="E104" i="1"/>
  <c r="B104" i="1"/>
  <c r="E103" i="1"/>
  <c r="B103" i="1"/>
  <c r="E102" i="1"/>
  <c r="B102" i="1"/>
  <c r="E101" i="1"/>
  <c r="B101" i="1"/>
  <c r="E100" i="1"/>
  <c r="B100" i="1"/>
  <c r="E99" i="1"/>
  <c r="B99" i="1"/>
  <c r="E98" i="1"/>
  <c r="B98" i="1"/>
  <c r="E97" i="1"/>
  <c r="B97" i="1"/>
  <c r="E96" i="1"/>
  <c r="B96" i="1"/>
  <c r="E95" i="1"/>
  <c r="B95" i="1"/>
  <c r="E94" i="1"/>
  <c r="B94" i="1"/>
  <c r="E93" i="1"/>
  <c r="B93" i="1"/>
  <c r="E92" i="1"/>
  <c r="B92" i="1"/>
  <c r="E91" i="1"/>
  <c r="B91" i="1"/>
  <c r="E90" i="1"/>
  <c r="B90" i="1"/>
  <c r="E89" i="1"/>
  <c r="B89" i="1"/>
  <c r="E88" i="1"/>
  <c r="B88" i="1"/>
  <c r="E87" i="1"/>
  <c r="B87" i="1"/>
  <c r="E86" i="1"/>
  <c r="B86" i="1"/>
  <c r="E85" i="1"/>
  <c r="B85" i="1"/>
  <c r="E84" i="1"/>
  <c r="B84" i="1"/>
  <c r="E83" i="1"/>
  <c r="B83" i="1"/>
  <c r="E82" i="1"/>
  <c r="B82" i="1"/>
  <c r="E81" i="1"/>
  <c r="B81" i="1"/>
  <c r="E80" i="1"/>
  <c r="B80" i="1"/>
  <c r="E79" i="1"/>
  <c r="B79" i="1"/>
  <c r="E78" i="1"/>
  <c r="B78" i="1"/>
  <c r="E77" i="1"/>
  <c r="B77" i="1"/>
  <c r="E76" i="1"/>
  <c r="B76" i="1"/>
  <c r="E75" i="1"/>
  <c r="B75" i="1"/>
  <c r="E74" i="1"/>
  <c r="B74" i="1"/>
  <c r="E73" i="1"/>
  <c r="B73" i="1"/>
  <c r="E72" i="1"/>
  <c r="B72" i="1"/>
  <c r="E71" i="1"/>
  <c r="B71" i="1"/>
  <c r="E70" i="1"/>
  <c r="B70" i="1"/>
  <c r="E69" i="1"/>
  <c r="B69" i="1"/>
  <c r="E68" i="1"/>
  <c r="B68" i="1"/>
  <c r="E67" i="1"/>
  <c r="B67" i="1"/>
  <c r="B66" i="1"/>
  <c r="E65" i="1"/>
  <c r="B65" i="1"/>
  <c r="E64" i="1"/>
  <c r="B64" i="1"/>
  <c r="E63" i="1"/>
  <c r="B63" i="1"/>
  <c r="E62" i="1"/>
  <c r="B62" i="1"/>
  <c r="E61" i="1"/>
  <c r="B61" i="1"/>
  <c r="E60" i="1"/>
  <c r="B60" i="1"/>
  <c r="E59" i="1"/>
  <c r="B59" i="1"/>
  <c r="E58" i="1"/>
  <c r="B58" i="1"/>
  <c r="E57" i="1"/>
  <c r="B57" i="1"/>
  <c r="E56" i="1"/>
  <c r="B56" i="1"/>
  <c r="E55" i="1"/>
  <c r="B55" i="1"/>
  <c r="E54" i="1"/>
  <c r="B54" i="1"/>
  <c r="E53" i="1"/>
  <c r="B53" i="1"/>
  <c r="E52" i="1"/>
  <c r="B52" i="1"/>
  <c r="E51" i="1"/>
  <c r="B51" i="1"/>
  <c r="E50" i="1"/>
  <c r="B50" i="1"/>
  <c r="E49" i="1"/>
  <c r="B49" i="1"/>
  <c r="E48" i="1"/>
  <c r="B48" i="1"/>
  <c r="E47" i="1"/>
  <c r="B47" i="1"/>
  <c r="E46" i="1"/>
  <c r="B46" i="1"/>
  <c r="E45" i="1"/>
  <c r="B45" i="1"/>
  <c r="E44" i="1"/>
  <c r="B44" i="1"/>
  <c r="E43" i="1"/>
  <c r="B43" i="1"/>
  <c r="E42" i="1"/>
  <c r="B42" i="1"/>
  <c r="E41" i="1"/>
  <c r="B41" i="1"/>
  <c r="E40" i="1"/>
  <c r="B40" i="1"/>
  <c r="E39" i="1"/>
  <c r="B39" i="1"/>
  <c r="E38" i="1"/>
  <c r="B38" i="1"/>
  <c r="E37" i="1"/>
  <c r="B37" i="1"/>
  <c r="E36" i="1"/>
  <c r="B36" i="1"/>
  <c r="E35" i="1"/>
  <c r="B35" i="1"/>
  <c r="E34" i="1"/>
  <c r="B34" i="1"/>
  <c r="T30" i="1"/>
  <c r="Q30" i="1"/>
  <c r="P30" i="1"/>
  <c r="J30" i="1"/>
  <c r="I30" i="1"/>
  <c r="H30" i="1"/>
  <c r="G30" i="1"/>
  <c r="T29" i="1"/>
  <c r="Q29" i="1"/>
  <c r="P29" i="1"/>
  <c r="J29" i="1"/>
  <c r="I29" i="1"/>
  <c r="H29" i="1"/>
  <c r="G29" i="1"/>
  <c r="E28" i="1"/>
  <c r="B28" i="1"/>
  <c r="E27" i="1"/>
  <c r="B27" i="1"/>
  <c r="E26" i="1"/>
  <c r="B26" i="1"/>
  <c r="E25" i="1"/>
  <c r="B25" i="1"/>
  <c r="E24" i="1"/>
  <c r="B24" i="1"/>
  <c r="E23" i="1"/>
  <c r="B23" i="1"/>
  <c r="E22" i="1"/>
  <c r="B22" i="1"/>
  <c r="E21" i="1"/>
  <c r="B21" i="1"/>
  <c r="E20" i="1"/>
  <c r="B20" i="1"/>
  <c r="E19" i="1"/>
  <c r="B19" i="1"/>
  <c r="T15" i="1"/>
  <c r="Q15" i="1"/>
  <c r="P15" i="1"/>
  <c r="J15" i="1"/>
  <c r="I15" i="1"/>
  <c r="H15" i="1"/>
  <c r="G15" i="1"/>
  <c r="T14" i="1"/>
  <c r="Q14" i="1"/>
  <c r="P14" i="1"/>
  <c r="J14" i="1"/>
  <c r="I14" i="1"/>
  <c r="H14" i="1"/>
  <c r="G14" i="1"/>
  <c r="E13" i="1"/>
  <c r="B13" i="1"/>
  <c r="B12" i="1"/>
  <c r="E11" i="1"/>
  <c r="B11" i="1"/>
  <c r="E10" i="1"/>
  <c r="B10" i="1"/>
  <c r="E9" i="1"/>
  <c r="B9" i="1"/>
  <c r="E8" i="1"/>
  <c r="B8" i="1"/>
  <c r="E7" i="1"/>
  <c r="B7" i="1"/>
</calcChain>
</file>

<file path=xl/sharedStrings.xml><?xml version="1.0" encoding="utf-8"?>
<sst xmlns="http://schemas.openxmlformats.org/spreadsheetml/2006/main" count="1366" uniqueCount="65">
  <si>
    <t>Property Analysis</t>
  </si>
  <si>
    <t>Active Listings</t>
  </si>
  <si>
    <t>Address</t>
  </si>
  <si>
    <t>Status</t>
  </si>
  <si>
    <t>Listing Type</t>
  </si>
  <si>
    <t>Building</t>
  </si>
  <si>
    <t>Neighborhood</t>
  </si>
  <si>
    <t>Price</t>
  </si>
  <si>
    <t xml:space="preserve">PPSF </t>
  </si>
  <si>
    <t>Monthly Fees + Taxes</t>
  </si>
  <si>
    <t>Annual Taxes</t>
  </si>
  <si>
    <t>Property Type</t>
  </si>
  <si>
    <t>Rooms</t>
  </si>
  <si>
    <t>Beds</t>
  </si>
  <si>
    <t xml:space="preserve">Full Baths </t>
  </si>
  <si>
    <t>Half Baths</t>
  </si>
  <si>
    <t>Total Square Feet</t>
  </si>
  <si>
    <t xml:space="preserve">DOM </t>
  </si>
  <si>
    <t>Updated Date</t>
  </si>
  <si>
    <t>Listed Date</t>
  </si>
  <si>
    <t>Sold Price</t>
  </si>
  <si>
    <t>Sold Date</t>
  </si>
  <si>
    <t>Active</t>
  </si>
  <si>
    <t>Sale</t>
  </si>
  <si>
    <t>Jamaica</t>
  </si>
  <si>
    <t>Condo</t>
  </si>
  <si>
    <t>Single Family</t>
  </si>
  <si>
    <t>Eastwood</t>
  </si>
  <si>
    <t>Co-op</t>
  </si>
  <si>
    <t>11156 145th St</t>
  </si>
  <si>
    <t>Single Family/Townhouse</t>
  </si>
  <si>
    <t>Average</t>
  </si>
  <si>
    <t>Median</t>
  </si>
  <si>
    <t>Contract Listings</t>
  </si>
  <si>
    <t>Contract Signed</t>
  </si>
  <si>
    <t>Co-op/Single Family</t>
  </si>
  <si>
    <t>Sold Listings</t>
  </si>
  <si>
    <t>Sold</t>
  </si>
  <si>
    <t>Townhouse/Single Family</t>
  </si>
  <si>
    <t>Townhouse/Multi Family/Single Family</t>
  </si>
  <si>
    <t>Condo/Other</t>
  </si>
  <si>
    <t>108-19 Fern Pl</t>
  </si>
  <si>
    <t>Multi Family</t>
  </si>
  <si>
    <t>Co-op/Co-Op/Single Family</t>
  </si>
  <si>
    <t>Co-op/Co-Op</t>
  </si>
  <si>
    <t>South Side Park</t>
  </si>
  <si>
    <t>139-15 139th St</t>
  </si>
  <si>
    <t>111-28 147th St</t>
  </si>
  <si>
    <t>Townhouse</t>
  </si>
  <si>
    <t>Other</t>
  </si>
  <si>
    <t>Townhouse/Multi Family</t>
  </si>
  <si>
    <t>Other Listings</t>
  </si>
  <si>
    <t>Exclusive Expired</t>
  </si>
  <si>
    <t>Temporarily Off Market</t>
  </si>
  <si>
    <t>Permanently Off Market</t>
  </si>
  <si>
    <t>Van Wyck Expy</t>
  </si>
  <si>
    <t>108-27 160th St</t>
  </si>
  <si>
    <t>Multi Family/Townhouse</t>
  </si>
  <si>
    <t>111-52 147th St</t>
  </si>
  <si>
    <t>Multi Family/Single Family</t>
  </si>
  <si>
    <t>111-30 147th St</t>
  </si>
  <si>
    <t>111-45 Liverpool St</t>
  </si>
  <si>
    <t>Preliminary Pricing Recommendation:</t>
  </si>
  <si>
    <t>Add notes here</t>
  </si>
  <si>
    <t>Note: The information contained herein does not purport to be complete nor, necessarily, accurate and should be independently verified; nor does it represent or constitute a legal analysis or financial advice. All of the financial projections and/or conclusions are provided for illustration purposes only. Compass and its agents disclaim any and all liability for representations and warranties, express or implied, contained in, or for omissions from, the information contained herein or any other written or oral communication transmitted or made available to the recipient. This represents an estimated sale price for this property. It is not the same as an opinion of value in an appraisal developed by a licensed appraiser under the Uniform Standards of Professional Appraisal Practice.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</si>
</sst>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0"/>
    <numFmt numFmtId="166" formatCode="mm/dd/yyyy"/>
  </numFmts>
  <fonts count="14">
    <font>
      <sz val="10"/>
      <color rgb="FF000000"/>
      <name val="Arial"/>
      <scheme val="minor"/>
    </font>
    <font>
      <sz val="10"/>
      <color theme="1"/>
      <name val="Arial"/>
      <family val="2"/>
      <scheme val="minor"/>
    </font>
    <font>
      <sz val="10"/>
      <color theme="1"/>
      <name val="Helvetica"/>
      <family val="2"/>
    </font>
    <font>
      <sz val="24"/>
      <color theme="1"/>
      <name val="Helvetica"/>
      <family val="2"/>
    </font>
    <font>
      <sz val="10"/>
      <name val="Arial"/>
      <family val="2"/>
    </font>
    <font>
      <b/>
      <sz val="13"/>
      <color rgb="FF000000"/>
      <name val="Helvetica"/>
      <family val="2"/>
    </font>
    <font>
      <b/>
      <sz val="10"/>
      <color theme="1"/>
      <name val="Helvetica"/>
      <family val="2"/>
    </font>
    <font>
      <u/>
      <sz val="10"/>
      <color rgb="FF3D3D3D"/>
      <name val="Helvetica"/>
      <family val="2"/>
    </font>
    <font>
      <sz val="10"/>
      <color rgb="FF3D3D3D"/>
      <name val="Helvetica"/>
      <family val="2"/>
    </font>
    <font>
      <u/>
      <sz val="10"/>
      <color rgb="FF3D3D3D"/>
      <name val="Helvetica"/>
      <family val="2"/>
    </font>
    <font>
      <u/>
      <sz val="10"/>
      <color rgb="FF3D3D3D"/>
      <name val="Helvetica"/>
      <family val="2"/>
    </font>
    <font>
      <u/>
      <sz val="10"/>
      <color rgb="FF3D3D3D"/>
      <name val="Helvetica"/>
      <family val="2"/>
    </font>
    <font>
      <b/>
      <sz val="10"/>
      <color rgb="FF000000"/>
      <name val="Helvetica"/>
      <family val="2"/>
    </font>
    <font>
      <i/>
      <sz val="12"/>
      <color theme="1"/>
      <name val="Helvetica"/>
      <family val="2"/>
    </font>
  </fonts>
  <fills count="3">
    <fill>
      <patternFill patternType="none"/>
    </fill>
    <fill>
      <patternFill patternType="gray125"/>
    </fill>
    <fill>
      <patternFill patternType="solid">
        <fgColor rgb="FFF9F9F9"/>
        <bgColor rgb="FFF9F9F9"/>
      </patternFill>
    </fill>
  </fills>
  <borders count="8">
    <border>
      <left/>
      <right/>
      <top/>
      <bottom/>
      <diagonal/>
    </border>
    <border>
      <left/>
      <right/>
      <top/>
      <bottom/>
      <diagonal/>
    </border>
    <border>
      <left/>
      <right/>
      <top/>
      <bottom/>
      <diagonal/>
    </border>
    <border>
      <left/>
      <right/>
      <top/>
      <bottom/>
      <diagonal/>
    </border>
    <border>
      <left/>
      <right/>
      <top/>
      <bottom/>
      <diagonal/>
    </border>
    <border>
      <left/>
      <right/>
      <top/>
      <bottom style="thin">
        <color rgb="FFF2F2F2"/>
      </bottom>
      <diagonal/>
    </border>
    <border>
      <left/>
      <right/>
      <top style="thin">
        <color rgb="FFF2F2F2"/>
      </top>
      <bottom style="thin">
        <color rgb="FFF2F2F2"/>
      </bottom>
      <diagonal/>
    </border>
    <border>
      <left/>
      <right/>
      <top/>
      <bottom/>
      <diagonal/>
    </border>
  </borders>
  <cellStyleXfs count="1">
    <xf numFmtId="0" fontId="0" fillId="0" borderId="0"/>
  </cellStyleXfs>
  <cellXfs count="42">
    <xf numFmtId="0" fontId="0" fillId="0" borderId="0" xfId="0"/>
    <xf numFmtId="0" fontId="1" fillId="0" borderId="1" xfId="0" applyFont="1" applyBorder="1"/>
    <xf numFmtId="0" fontId="2" fillId="0" borderId="1" xfId="0" applyFont="1" applyBorder="1"/>
    <xf numFmtId="164" fontId="1" fillId="0" borderId="1" xfId="0" applyNumberFormat="1" applyFont="1" applyBorder="1"/>
    <xf numFmtId="0" fontId="6" fillId="2" borderId="1" xfId="0" applyFont="1" applyFill="1" applyBorder="1" applyAlignment="1">
      <alignment horizontal="left" vertical="center" wrapText="1"/>
    </xf>
    <xf numFmtId="0" fontId="6" fillId="2" borderId="1" xfId="0" applyFont="1" applyFill="1" applyBorder="1" applyAlignment="1">
      <alignment vertical="center" wrapText="1"/>
    </xf>
    <xf numFmtId="0" fontId="6" fillId="2" borderId="1" xfId="0" applyFont="1" applyFill="1" applyBorder="1" applyAlignment="1">
      <alignment horizontal="right" vertical="center" wrapText="1"/>
    </xf>
    <xf numFmtId="0" fontId="7" fillId="0" borderId="5" xfId="0" applyFont="1" applyBorder="1" applyAlignment="1">
      <alignment horizontal="left" vertical="center"/>
    </xf>
    <xf numFmtId="0" fontId="8" fillId="0" borderId="5" xfId="0" applyFont="1" applyBorder="1" applyAlignment="1">
      <alignment horizontal="left" vertical="center"/>
    </xf>
    <xf numFmtId="0" fontId="8" fillId="0" borderId="5" xfId="0" applyFont="1" applyBorder="1" applyAlignment="1">
      <alignment vertical="center"/>
    </xf>
    <xf numFmtId="0" fontId="9" fillId="0" borderId="5" xfId="0" applyFont="1" applyBorder="1" applyAlignment="1">
      <alignment vertical="center"/>
    </xf>
    <xf numFmtId="165" fontId="8" fillId="0" borderId="5" xfId="0" applyNumberFormat="1" applyFont="1" applyBorder="1" applyAlignment="1">
      <alignment horizontal="right" vertical="center"/>
    </xf>
    <xf numFmtId="3" fontId="8" fillId="0" borderId="5" xfId="0" applyNumberFormat="1" applyFont="1" applyBorder="1" applyAlignment="1">
      <alignment horizontal="right" vertical="center"/>
    </xf>
    <xf numFmtId="166" fontId="8" fillId="0" borderId="5" xfId="0" applyNumberFormat="1" applyFont="1" applyBorder="1" applyAlignment="1">
      <alignment horizontal="left" vertical="center"/>
    </xf>
    <xf numFmtId="0" fontId="10" fillId="0" borderId="6" xfId="0" applyFont="1" applyBorder="1" applyAlignment="1">
      <alignment horizontal="left" vertical="center"/>
    </xf>
    <xf numFmtId="0" fontId="8" fillId="0" borderId="6" xfId="0" applyFont="1" applyBorder="1" applyAlignment="1">
      <alignment horizontal="left" vertical="center"/>
    </xf>
    <xf numFmtId="0" fontId="8" fillId="0" borderId="6" xfId="0" applyFont="1" applyBorder="1" applyAlignment="1">
      <alignment vertical="center"/>
    </xf>
    <xf numFmtId="0" fontId="11" fillId="0" borderId="6" xfId="0" applyFont="1" applyBorder="1" applyAlignment="1">
      <alignment vertical="center"/>
    </xf>
    <xf numFmtId="165" fontId="8" fillId="0" borderId="6" xfId="0" applyNumberFormat="1" applyFont="1" applyBorder="1" applyAlignment="1">
      <alignment horizontal="right" vertical="center"/>
    </xf>
    <xf numFmtId="3" fontId="8" fillId="0" borderId="6" xfId="0" applyNumberFormat="1" applyFont="1" applyBorder="1" applyAlignment="1">
      <alignment horizontal="right" vertical="center"/>
    </xf>
    <xf numFmtId="166" fontId="8" fillId="0" borderId="6" xfId="0" applyNumberFormat="1" applyFont="1" applyBorder="1" applyAlignment="1">
      <alignment horizontal="left" vertical="center"/>
    </xf>
    <xf numFmtId="3" fontId="8" fillId="0" borderId="6" xfId="0" applyNumberFormat="1" applyFont="1" applyBorder="1" applyAlignment="1">
      <alignment vertical="center"/>
    </xf>
    <xf numFmtId="0" fontId="12" fillId="0" borderId="7" xfId="0" applyFont="1" applyBorder="1" applyAlignment="1">
      <alignment horizontal="left" vertical="center"/>
    </xf>
    <xf numFmtId="0" fontId="12" fillId="0" borderId="7" xfId="0" applyFont="1" applyBorder="1" applyAlignment="1">
      <alignment vertical="center"/>
    </xf>
    <xf numFmtId="165" fontId="12" fillId="0" borderId="7" xfId="0" applyNumberFormat="1" applyFont="1" applyBorder="1" applyAlignment="1">
      <alignment horizontal="right" vertical="center"/>
    </xf>
    <xf numFmtId="3" fontId="12" fillId="0" borderId="7" xfId="0" applyNumberFormat="1" applyFont="1" applyBorder="1" applyAlignment="1">
      <alignment horizontal="right" vertical="center"/>
    </xf>
    <xf numFmtId="166" fontId="12" fillId="0" borderId="7" xfId="0" applyNumberFormat="1" applyFont="1" applyBorder="1" applyAlignment="1">
      <alignment horizontal="left" vertical="center"/>
    </xf>
    <xf numFmtId="0" fontId="12" fillId="0" borderId="1" xfId="0" applyFont="1" applyBorder="1" applyAlignment="1">
      <alignment horizontal="left" vertical="center"/>
    </xf>
    <xf numFmtId="0" fontId="12" fillId="0" borderId="1" xfId="0" applyFont="1" applyBorder="1" applyAlignment="1">
      <alignment vertical="center"/>
    </xf>
    <xf numFmtId="165" fontId="12" fillId="0" borderId="1" xfId="0" applyNumberFormat="1" applyFont="1" applyBorder="1" applyAlignment="1">
      <alignment horizontal="right" vertical="center"/>
    </xf>
    <xf numFmtId="3" fontId="12" fillId="0" borderId="1" xfId="0" applyNumberFormat="1" applyFont="1" applyBorder="1" applyAlignment="1">
      <alignment horizontal="right" vertical="center"/>
    </xf>
    <xf numFmtId="166" fontId="12" fillId="0" borderId="1" xfId="0" applyNumberFormat="1" applyFont="1" applyBorder="1" applyAlignment="1">
      <alignment horizontal="left" vertical="center"/>
    </xf>
    <xf numFmtId="3" fontId="8" fillId="0" borderId="5" xfId="0" applyNumberFormat="1" applyFont="1" applyBorder="1" applyAlignment="1">
      <alignment vertical="center"/>
    </xf>
    <xf numFmtId="0" fontId="5" fillId="0" borderId="2" xfId="0" applyFont="1" applyBorder="1" applyAlignment="1">
      <alignment vertical="center"/>
    </xf>
    <xf numFmtId="0" fontId="4" fillId="0" borderId="3" xfId="0" applyFont="1" applyBorder="1"/>
    <xf numFmtId="0" fontId="4" fillId="0" borderId="4" xfId="0" applyFont="1" applyBorder="1"/>
    <xf numFmtId="0" fontId="2" fillId="0" borderId="2" xfId="0" applyFont="1" applyBorder="1" applyAlignment="1">
      <alignment vertical="center"/>
    </xf>
    <xf numFmtId="0" fontId="2" fillId="0" borderId="2" xfId="0" applyFont="1" applyBorder="1"/>
    <xf numFmtId="0" fontId="13" fillId="0" borderId="2" xfId="0" applyFont="1" applyBorder="1" applyAlignment="1">
      <alignment vertical="center" wrapText="1"/>
    </xf>
    <xf numFmtId="0" fontId="3" fillId="0" borderId="2" xfId="0" applyFont="1" applyBorder="1" applyAlignment="1">
      <alignment horizontal="left" vertical="center"/>
    </xf>
    <xf numFmtId="164" fontId="2" fillId="0" borderId="2" xfId="0" applyNumberFormat="1" applyFont="1" applyBorder="1" applyAlignment="1">
      <alignment horizontal="left" vertical="center"/>
    </xf>
    <xf numFmtId="0" fontId="2" fillId="0" borderId="2"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345"/>
  <sheetViews>
    <sheetView tabSelected="1" workbookViewId="0"/>
  </sheetViews>
  <sheetFormatPr baseColWidth="10" defaultColWidth="12.6640625" defaultRowHeight="15.75" customHeight="1"/>
  <cols>
    <col min="1" max="1" width="5.1640625" customWidth="1"/>
    <col min="2" max="2" width="31.33203125" customWidth="1"/>
    <col min="3" max="3" width="20.6640625" customWidth="1"/>
    <col min="4" max="4" width="12.1640625" customWidth="1"/>
    <col min="5" max="5" width="22" customWidth="1"/>
    <col min="6" max="6" width="14.83203125" customWidth="1"/>
    <col min="7" max="7" width="10.33203125" customWidth="1"/>
    <col min="8" max="8" width="8.33203125" customWidth="1"/>
    <col min="9" max="9" width="15" customWidth="1"/>
    <col min="10" max="10" width="13.1640625" customWidth="1"/>
    <col min="11" max="11" width="31.5" customWidth="1"/>
    <col min="12" max="12" width="8.5" customWidth="1"/>
    <col min="13" max="13" width="7.1640625" customWidth="1"/>
    <col min="14" max="15" width="11.1640625" customWidth="1"/>
    <col min="16" max="16" width="13.1640625" customWidth="1"/>
    <col min="17" max="17" width="7.5" customWidth="1"/>
    <col min="18" max="18" width="13.1640625" customWidth="1"/>
    <col min="19" max="19" width="12.1640625" customWidth="1"/>
    <col min="20" max="20" width="10.83203125" customWidth="1"/>
    <col min="21" max="21" width="12.1640625" customWidth="1"/>
    <col min="22" max="22" width="5.1640625" customWidth="1"/>
  </cols>
  <sheetData>
    <row r="1" spans="1:22" ht="13">
      <c r="A1" s="1"/>
      <c r="B1" s="2"/>
      <c r="C1" s="2"/>
      <c r="D1" s="2"/>
      <c r="E1" s="2"/>
      <c r="F1" s="2"/>
      <c r="G1" s="2"/>
      <c r="H1" s="2"/>
      <c r="I1" s="2"/>
      <c r="J1" s="2"/>
      <c r="K1" s="2"/>
      <c r="L1" s="2"/>
      <c r="M1" s="2"/>
      <c r="N1" s="2"/>
      <c r="O1" s="2"/>
      <c r="P1" s="2"/>
      <c r="Q1" s="2"/>
      <c r="R1" s="2"/>
      <c r="S1" s="2"/>
      <c r="T1" s="2"/>
      <c r="U1" s="2"/>
      <c r="V1" s="1"/>
    </row>
    <row r="2" spans="1:22" ht="37.5" customHeight="1">
      <c r="A2" s="1"/>
      <c r="B2" s="39" t="s">
        <v>0</v>
      </c>
      <c r="C2" s="34"/>
      <c r="D2" s="34"/>
      <c r="E2" s="34"/>
      <c r="F2" s="34"/>
      <c r="G2" s="34"/>
      <c r="H2" s="34"/>
      <c r="I2" s="34"/>
      <c r="J2" s="34"/>
      <c r="K2" s="34"/>
      <c r="L2" s="34"/>
      <c r="M2" s="34"/>
      <c r="N2" s="34"/>
      <c r="O2" s="34"/>
      <c r="P2" s="34"/>
      <c r="Q2" s="34"/>
      <c r="R2" s="34"/>
      <c r="S2" s="34"/>
      <c r="T2" s="34"/>
      <c r="U2" s="35"/>
      <c r="V2" s="1"/>
    </row>
    <row r="3" spans="1:22" ht="18.75" customHeight="1">
      <c r="A3" s="3"/>
      <c r="B3" s="40">
        <v>45863</v>
      </c>
      <c r="C3" s="34"/>
      <c r="D3" s="34"/>
      <c r="E3" s="34"/>
      <c r="F3" s="34"/>
      <c r="G3" s="34"/>
      <c r="H3" s="34"/>
      <c r="I3" s="34"/>
      <c r="J3" s="34"/>
      <c r="K3" s="34"/>
      <c r="L3" s="34"/>
      <c r="M3" s="34"/>
      <c r="N3" s="34"/>
      <c r="O3" s="34"/>
      <c r="P3" s="34"/>
      <c r="Q3" s="34"/>
      <c r="R3" s="34"/>
      <c r="S3" s="34"/>
      <c r="T3" s="34"/>
      <c r="U3" s="35"/>
      <c r="V3" s="1"/>
    </row>
    <row r="4" spans="1:22" ht="37.5" customHeight="1">
      <c r="A4" s="1"/>
      <c r="B4" s="41"/>
      <c r="C4" s="34"/>
      <c r="D4" s="34"/>
      <c r="E4" s="34"/>
      <c r="F4" s="34"/>
      <c r="G4" s="34"/>
      <c r="H4" s="34"/>
      <c r="I4" s="34"/>
      <c r="J4" s="34"/>
      <c r="K4" s="34"/>
      <c r="L4" s="34"/>
      <c r="M4" s="34"/>
      <c r="N4" s="34"/>
      <c r="O4" s="34"/>
      <c r="P4" s="34"/>
      <c r="Q4" s="34"/>
      <c r="R4" s="34"/>
      <c r="S4" s="34"/>
      <c r="T4" s="34"/>
      <c r="U4" s="35"/>
      <c r="V4" s="1"/>
    </row>
    <row r="5" spans="1:22" ht="24" customHeight="1">
      <c r="A5" s="1"/>
      <c r="B5" s="33" t="s">
        <v>1</v>
      </c>
      <c r="C5" s="34"/>
      <c r="D5" s="34"/>
      <c r="E5" s="34"/>
      <c r="F5" s="34"/>
      <c r="G5" s="34"/>
      <c r="H5" s="34"/>
      <c r="I5" s="34"/>
      <c r="J5" s="34"/>
      <c r="K5" s="34"/>
      <c r="L5" s="34"/>
      <c r="M5" s="34"/>
      <c r="N5" s="34"/>
      <c r="O5" s="34"/>
      <c r="P5" s="34"/>
      <c r="Q5" s="34"/>
      <c r="R5" s="34"/>
      <c r="S5" s="34"/>
      <c r="T5" s="34"/>
      <c r="U5" s="35"/>
      <c r="V5" s="1"/>
    </row>
    <row r="6" spans="1:22" ht="24" customHeight="1">
      <c r="A6" s="1"/>
      <c r="B6" s="4" t="s">
        <v>2</v>
      </c>
      <c r="C6" s="4" t="s">
        <v>3</v>
      </c>
      <c r="D6" s="5" t="s">
        <v>4</v>
      </c>
      <c r="E6" s="5" t="s">
        <v>5</v>
      </c>
      <c r="F6" s="4" t="s">
        <v>6</v>
      </c>
      <c r="G6" s="6" t="s">
        <v>7</v>
      </c>
      <c r="H6" s="6" t="s">
        <v>8</v>
      </c>
      <c r="I6" s="6" t="s">
        <v>9</v>
      </c>
      <c r="J6" s="6" t="s">
        <v>10</v>
      </c>
      <c r="K6" s="4" t="s">
        <v>11</v>
      </c>
      <c r="L6" s="5" t="s">
        <v>12</v>
      </c>
      <c r="M6" s="5" t="s">
        <v>13</v>
      </c>
      <c r="N6" s="5" t="s">
        <v>14</v>
      </c>
      <c r="O6" s="5" t="s">
        <v>15</v>
      </c>
      <c r="P6" s="5" t="s">
        <v>16</v>
      </c>
      <c r="Q6" s="6" t="s">
        <v>17</v>
      </c>
      <c r="R6" s="4" t="s">
        <v>18</v>
      </c>
      <c r="S6" s="4" t="s">
        <v>19</v>
      </c>
      <c r="T6" s="6" t="s">
        <v>20</v>
      </c>
      <c r="U6" s="4" t="s">
        <v>21</v>
      </c>
      <c r="V6" s="1"/>
    </row>
    <row r="7" spans="1:22" ht="24" customHeight="1">
      <c r="A7" s="1"/>
      <c r="B7" s="7" t="str">
        <f>HYPERLINK("https://www.compass.com/listing/107-04-guy-r-brewer-boulevard-unit-7a-queens-ny-11433/1886367539805064169/view?agent_id=610d3f3370540700019b0833","107-04 Guy R Brewer Boulevard, Unit 7A")</f>
        <v>107-04 Guy R Brewer Boulevard, Unit 7A</v>
      </c>
      <c r="C7" s="8" t="s">
        <v>22</v>
      </c>
      <c r="D7" s="9" t="s">
        <v>23</v>
      </c>
      <c r="E7" s="10" t="str">
        <f>HYPERLINK("https://www.compass.com/building/107-04-guy-r-brewer-blvd-queens-ny-11433/307433751902464037/","107-04 Guy R Brewer Blvd")</f>
        <v>107-04 Guy R Brewer Blvd</v>
      </c>
      <c r="F7" s="8" t="s">
        <v>24</v>
      </c>
      <c r="G7" s="11">
        <v>379000</v>
      </c>
      <c r="H7" s="11">
        <v>466</v>
      </c>
      <c r="I7" s="11">
        <v>500</v>
      </c>
      <c r="J7" s="11">
        <v>3057</v>
      </c>
      <c r="K7" s="8" t="s">
        <v>25</v>
      </c>
      <c r="L7" s="9">
        <v>6</v>
      </c>
      <c r="M7" s="9">
        <v>2</v>
      </c>
      <c r="N7" s="9">
        <v>1</v>
      </c>
      <c r="O7" s="9"/>
      <c r="P7" s="9">
        <v>813</v>
      </c>
      <c r="Q7" s="12">
        <v>9</v>
      </c>
      <c r="R7" s="13">
        <v>45863</v>
      </c>
      <c r="S7" s="13">
        <v>45854</v>
      </c>
      <c r="T7" s="11"/>
      <c r="U7" s="13"/>
      <c r="V7" s="1"/>
    </row>
    <row r="8" spans="1:22" ht="24" customHeight="1">
      <c r="A8" s="1"/>
      <c r="B8" s="14" t="str">
        <f>HYPERLINK("https://www.compass.com/listing/108-01-fern-place-queens-ny-11433/1866745830014678361/view?agent_id=610d3f3370540700019b0833","108-01 Fern Place")</f>
        <v>108-01 Fern Place</v>
      </c>
      <c r="C8" s="15" t="s">
        <v>22</v>
      </c>
      <c r="D8" s="16" t="s">
        <v>23</v>
      </c>
      <c r="E8" s="17" t="str">
        <f>HYPERLINK("https://www.compass.com/building/108-01-fern-pl-queens-ny-11433/293526215539566005/","108-01 Fern Pl")</f>
        <v>108-01 Fern Pl</v>
      </c>
      <c r="F8" s="15" t="s">
        <v>24</v>
      </c>
      <c r="G8" s="18">
        <v>599000</v>
      </c>
      <c r="H8" s="18">
        <v>826</v>
      </c>
      <c r="I8" s="18">
        <v>370</v>
      </c>
      <c r="J8" s="18">
        <v>4442</v>
      </c>
      <c r="K8" s="15" t="s">
        <v>26</v>
      </c>
      <c r="L8" s="16">
        <v>3</v>
      </c>
      <c r="M8" s="16">
        <v>2</v>
      </c>
      <c r="N8" s="16">
        <v>1</v>
      </c>
      <c r="O8" s="16"/>
      <c r="P8" s="16">
        <v>725</v>
      </c>
      <c r="Q8" s="19">
        <v>36</v>
      </c>
      <c r="R8" s="20">
        <v>45862</v>
      </c>
      <c r="S8" s="20">
        <v>45827</v>
      </c>
      <c r="T8" s="18"/>
      <c r="U8" s="20"/>
      <c r="V8" s="1"/>
    </row>
    <row r="9" spans="1:22" ht="24" customHeight="1">
      <c r="A9" s="1"/>
      <c r="B9" s="14" t="str">
        <f>HYPERLINK("https://www.compass.com/listing/87-70-173rd-street-unit-5e-queens-ny-11432/1849388245375930177/view?agent_id=610d3f3370540700019b0833","87-70 173rd Street, Unit 5E")</f>
        <v>87-70 173rd Street, Unit 5E</v>
      </c>
      <c r="C9" s="15" t="s">
        <v>22</v>
      </c>
      <c r="D9" s="16" t="s">
        <v>23</v>
      </c>
      <c r="E9" s="17" t="str">
        <f>HYPERLINK("https://www.compass.com/building/87-70-173rd-st-queens-ny-11432/293417969093019925/","87-70 173rd St")</f>
        <v>87-70 173rd St</v>
      </c>
      <c r="F9" s="15" t="s">
        <v>27</v>
      </c>
      <c r="G9" s="18">
        <v>234000</v>
      </c>
      <c r="H9" s="18">
        <v>275</v>
      </c>
      <c r="I9" s="18">
        <v>1050</v>
      </c>
      <c r="J9" s="18"/>
      <c r="K9" s="15" t="s">
        <v>28</v>
      </c>
      <c r="L9" s="16">
        <v>5</v>
      </c>
      <c r="M9" s="16">
        <v>2</v>
      </c>
      <c r="N9" s="16">
        <v>1</v>
      </c>
      <c r="O9" s="16"/>
      <c r="P9" s="16">
        <v>850</v>
      </c>
      <c r="Q9" s="19">
        <v>60</v>
      </c>
      <c r="R9" s="20">
        <v>45804</v>
      </c>
      <c r="S9" s="20">
        <v>45803</v>
      </c>
      <c r="T9" s="18"/>
      <c r="U9" s="20"/>
      <c r="V9" s="1"/>
    </row>
    <row r="10" spans="1:22" ht="24" customHeight="1">
      <c r="A10" s="1"/>
      <c r="B10" s="14" t="str">
        <f>HYPERLINK("https://www.compass.com/listing/109-14-164th-place-queens-ny-11433/1856027078663339737/view?agent_id=610d3f3370540700019b0833","109-14 164th Place")</f>
        <v>109-14 164th Place</v>
      </c>
      <c r="C10" s="15" t="s">
        <v>22</v>
      </c>
      <c r="D10" s="16" t="s">
        <v>23</v>
      </c>
      <c r="E10" s="17" t="str">
        <f>HYPERLINK("https://www.compass.com/building/109-14-164th-pl-queens-ny-11433/293532520023077957/","109-14 164th Pl")</f>
        <v>109-14 164th Pl</v>
      </c>
      <c r="F10" s="15" t="s">
        <v>24</v>
      </c>
      <c r="G10" s="18">
        <v>559000</v>
      </c>
      <c r="H10" s="18">
        <v>559</v>
      </c>
      <c r="I10" s="18">
        <v>216</v>
      </c>
      <c r="J10" s="18">
        <v>2590</v>
      </c>
      <c r="K10" s="15" t="s">
        <v>26</v>
      </c>
      <c r="L10" s="16">
        <v>4</v>
      </c>
      <c r="M10" s="16">
        <v>2</v>
      </c>
      <c r="N10" s="16">
        <v>1</v>
      </c>
      <c r="O10" s="16"/>
      <c r="P10" s="21">
        <v>1000</v>
      </c>
      <c r="Q10" s="19">
        <v>51</v>
      </c>
      <c r="R10" s="20">
        <v>45863</v>
      </c>
      <c r="S10" s="20">
        <v>45812</v>
      </c>
      <c r="T10" s="18"/>
      <c r="U10" s="20"/>
      <c r="V10" s="1"/>
    </row>
    <row r="11" spans="1:22" ht="24" customHeight="1">
      <c r="A11" s="1"/>
      <c r="B11" s="14" t="str">
        <f>HYPERLINK("https://www.compass.com/listing/173-61-105th-avenue-queens-ny-11433/1793547573561121041/view?agent_id=610d3f3370540700019b0833","173-61 105th Avenue")</f>
        <v>173-61 105th Avenue</v>
      </c>
      <c r="C11" s="15" t="s">
        <v>22</v>
      </c>
      <c r="D11" s="16" t="s">
        <v>23</v>
      </c>
      <c r="E11" s="17" t="str">
        <f>HYPERLINK("https://www.compass.com/building/173-61-105th-ave-queens-ny-11433/293527703376721509/","173-61 105th Ave")</f>
        <v>173-61 105th Ave</v>
      </c>
      <c r="F11" s="15" t="s">
        <v>24</v>
      </c>
      <c r="G11" s="18">
        <v>625000</v>
      </c>
      <c r="H11" s="18">
        <v>666</v>
      </c>
      <c r="I11" s="18">
        <v>345</v>
      </c>
      <c r="J11" s="18">
        <v>4145</v>
      </c>
      <c r="K11" s="15" t="s">
        <v>26</v>
      </c>
      <c r="L11" s="16">
        <v>6</v>
      </c>
      <c r="M11" s="16">
        <v>2</v>
      </c>
      <c r="N11" s="16">
        <v>1</v>
      </c>
      <c r="O11" s="16"/>
      <c r="P11" s="16">
        <v>938</v>
      </c>
      <c r="Q11" s="19">
        <v>137</v>
      </c>
      <c r="R11" s="20">
        <v>45862</v>
      </c>
      <c r="S11" s="20">
        <v>45726</v>
      </c>
      <c r="T11" s="18"/>
      <c r="U11" s="20"/>
      <c r="V11" s="1"/>
    </row>
    <row r="12" spans="1:22" ht="24" customHeight="1">
      <c r="A12" s="1"/>
      <c r="B12" s="14" t="str">
        <f>HYPERLINK("https://www.compass.com/listing/11156-145th-street-queens-ny-11435/1781607726136316433/view?agent_id=610d3f3370540700019b0833","11156 145th Street")</f>
        <v>11156 145th Street</v>
      </c>
      <c r="C12" s="15" t="s">
        <v>22</v>
      </c>
      <c r="D12" s="16" t="s">
        <v>23</v>
      </c>
      <c r="E12" s="16" t="s">
        <v>29</v>
      </c>
      <c r="F12" s="15" t="s">
        <v>24</v>
      </c>
      <c r="G12" s="18">
        <v>470000</v>
      </c>
      <c r="H12" s="18">
        <v>599</v>
      </c>
      <c r="I12" s="18">
        <v>307</v>
      </c>
      <c r="J12" s="18">
        <v>3683</v>
      </c>
      <c r="K12" s="15" t="s">
        <v>30</v>
      </c>
      <c r="L12" s="16">
        <v>2</v>
      </c>
      <c r="M12" s="16">
        <v>2</v>
      </c>
      <c r="N12" s="16">
        <v>1</v>
      </c>
      <c r="O12" s="16"/>
      <c r="P12" s="16">
        <v>784</v>
      </c>
      <c r="Q12" s="19">
        <v>153</v>
      </c>
      <c r="R12" s="20">
        <v>45712</v>
      </c>
      <c r="S12" s="20">
        <v>45709</v>
      </c>
      <c r="T12" s="18"/>
      <c r="U12" s="20"/>
      <c r="V12" s="1"/>
    </row>
    <row r="13" spans="1:22" ht="24" customHeight="1">
      <c r="A13" s="1"/>
      <c r="B13" s="14" t="str">
        <f>HYPERLINK("https://www.compass.com/listing/111-56-145th-street-queens-ny-11435/1783418891489445673/view?agent_id=610d3f3370540700019b0833","111-56 145th Street")</f>
        <v>111-56 145th Street</v>
      </c>
      <c r="C13" s="15" t="s">
        <v>22</v>
      </c>
      <c r="D13" s="16" t="s">
        <v>23</v>
      </c>
      <c r="E13" s="17" t="str">
        <f>HYPERLINK("https://www.compass.com/building/111-56-145th-st-queens-ny-11435/293417731854704773/","111-56 145th St")</f>
        <v>111-56 145th St</v>
      </c>
      <c r="F13" s="15" t="s">
        <v>24</v>
      </c>
      <c r="G13" s="18">
        <v>470000</v>
      </c>
      <c r="H13" s="18">
        <v>599</v>
      </c>
      <c r="I13" s="18">
        <v>307</v>
      </c>
      <c r="J13" s="18">
        <v>3683</v>
      </c>
      <c r="K13" s="15" t="s">
        <v>30</v>
      </c>
      <c r="L13" s="16">
        <v>0</v>
      </c>
      <c r="M13" s="16">
        <v>2</v>
      </c>
      <c r="N13" s="16"/>
      <c r="O13" s="16"/>
      <c r="P13" s="16">
        <v>784</v>
      </c>
      <c r="Q13" s="19">
        <v>151</v>
      </c>
      <c r="R13" s="20">
        <v>45863</v>
      </c>
      <c r="S13" s="20">
        <v>45712</v>
      </c>
      <c r="T13" s="18"/>
      <c r="U13" s="20"/>
      <c r="V13" s="1"/>
    </row>
    <row r="14" spans="1:22" ht="24" customHeight="1">
      <c r="A14" s="1"/>
      <c r="B14" s="22" t="s">
        <v>31</v>
      </c>
      <c r="C14" s="22"/>
      <c r="D14" s="23"/>
      <c r="E14" s="23"/>
      <c r="F14" s="22"/>
      <c r="G14" s="24">
        <f ca="1">IFERROR(__xludf.DUMMYFUNCTION("TO_DOLLARS(IFERROR(AVERAGE(G7:G13)))"),476571.428571428)</f>
        <v>476571.428571428</v>
      </c>
      <c r="H14" s="24">
        <f ca="1">IFERROR(__xludf.DUMMYFUNCTION("TO_DOLLARS(IFERROR(AVERAGE(H7:H13)))"),570)</f>
        <v>570</v>
      </c>
      <c r="I14" s="24">
        <f ca="1">IFERROR(__xludf.DUMMYFUNCTION("TO_DOLLARS(IFERROR(AVERAGE(I7:I13)))"),442.142857142857)</f>
        <v>442.142857142857</v>
      </c>
      <c r="J14" s="24">
        <f ca="1">IFERROR(__xludf.DUMMYFUNCTION("TO_DOLLARS(IFERROR(AVERAGE(J7:J13)))"),3600)</f>
        <v>3600</v>
      </c>
      <c r="K14" s="22"/>
      <c r="L14" s="23"/>
      <c r="M14" s="23"/>
      <c r="N14" s="23"/>
      <c r="O14" s="23"/>
      <c r="P14" s="23">
        <f t="shared" ref="P14:Q14" si="0">IFERROR(AVERAGE(P7:P13),"")</f>
        <v>842</v>
      </c>
      <c r="Q14" s="25">
        <f t="shared" si="0"/>
        <v>85.285714285714292</v>
      </c>
      <c r="R14" s="26"/>
      <c r="S14" s="26"/>
      <c r="T14" s="24" t="str">
        <f ca="1">IFERROR(__xludf.DUMMYFUNCTION("TO_DOLLARS(IFERROR(AVERAGE(T7:T13)))"),"")</f>
        <v/>
      </c>
      <c r="U14" s="26"/>
      <c r="V14" s="1"/>
    </row>
    <row r="15" spans="1:22" ht="24" customHeight="1">
      <c r="A15" s="1"/>
      <c r="B15" s="27" t="s">
        <v>32</v>
      </c>
      <c r="C15" s="27"/>
      <c r="D15" s="28"/>
      <c r="E15" s="28"/>
      <c r="F15" s="27"/>
      <c r="G15" s="29">
        <f ca="1">IFERROR(__xludf.DUMMYFUNCTION("TO_DOLLARS(IFERROR(MEDIAN(G7:G13)))"),470000)</f>
        <v>470000</v>
      </c>
      <c r="H15" s="29">
        <f ca="1">IFERROR(__xludf.DUMMYFUNCTION("TO_DOLLARS(IFERROR(MEDIAN(H7:H13)))"),599)</f>
        <v>599</v>
      </c>
      <c r="I15" s="29">
        <f ca="1">IFERROR(__xludf.DUMMYFUNCTION("TO_DOLLARS(IFERROR(MEDIAN(I7:I13)))"),345)</f>
        <v>345</v>
      </c>
      <c r="J15" s="29">
        <f ca="1">IFERROR(__xludf.DUMMYFUNCTION("TO_DOLLARS(IFERROR(MEDIAN(J7:J13)))"),3683)</f>
        <v>3683</v>
      </c>
      <c r="K15" s="27"/>
      <c r="L15" s="28"/>
      <c r="M15" s="28"/>
      <c r="N15" s="28"/>
      <c r="O15" s="28"/>
      <c r="P15" s="28">
        <f t="shared" ref="P15:Q15" si="1">IFERROR(MEDIAN(P7:P13),"")</f>
        <v>813</v>
      </c>
      <c r="Q15" s="30">
        <f t="shared" si="1"/>
        <v>60</v>
      </c>
      <c r="R15" s="31"/>
      <c r="S15" s="31"/>
      <c r="T15" s="29" t="str">
        <f ca="1">IFERROR(__xludf.DUMMYFUNCTION("TO_DOLLARS(IFERROR(MEDIAN(T7:T13)))"),"")</f>
        <v/>
      </c>
      <c r="U15" s="31"/>
      <c r="V15" s="1"/>
    </row>
    <row r="16" spans="1:22" ht="13">
      <c r="A16" s="1"/>
      <c r="B16" s="2"/>
      <c r="C16" s="2"/>
      <c r="D16" s="2"/>
      <c r="E16" s="2"/>
      <c r="F16" s="2"/>
      <c r="G16" s="2"/>
      <c r="H16" s="2"/>
      <c r="I16" s="2"/>
      <c r="J16" s="2"/>
      <c r="K16" s="2"/>
      <c r="L16" s="2"/>
      <c r="M16" s="2"/>
      <c r="N16" s="2"/>
      <c r="O16" s="2"/>
      <c r="P16" s="2"/>
      <c r="Q16" s="2"/>
      <c r="R16" s="2"/>
      <c r="S16" s="2"/>
      <c r="T16" s="2"/>
      <c r="U16" s="2"/>
      <c r="V16" s="1"/>
    </row>
    <row r="17" spans="1:22" ht="24" customHeight="1">
      <c r="A17" s="1"/>
      <c r="B17" s="33" t="s">
        <v>33</v>
      </c>
      <c r="C17" s="34"/>
      <c r="D17" s="34"/>
      <c r="E17" s="34"/>
      <c r="F17" s="34"/>
      <c r="G17" s="34"/>
      <c r="H17" s="34"/>
      <c r="I17" s="34"/>
      <c r="J17" s="34"/>
      <c r="K17" s="34"/>
      <c r="L17" s="34"/>
      <c r="M17" s="34"/>
      <c r="N17" s="34"/>
      <c r="O17" s="34"/>
      <c r="P17" s="34"/>
      <c r="Q17" s="34"/>
      <c r="R17" s="34"/>
      <c r="S17" s="34"/>
      <c r="T17" s="34"/>
      <c r="U17" s="35"/>
      <c r="V17" s="1"/>
    </row>
    <row r="18" spans="1:22" ht="24" customHeight="1">
      <c r="A18" s="1"/>
      <c r="B18" s="4" t="s">
        <v>2</v>
      </c>
      <c r="C18" s="4" t="s">
        <v>3</v>
      </c>
      <c r="D18" s="5" t="s">
        <v>4</v>
      </c>
      <c r="E18" s="5" t="s">
        <v>5</v>
      </c>
      <c r="F18" s="4" t="s">
        <v>6</v>
      </c>
      <c r="G18" s="6" t="s">
        <v>7</v>
      </c>
      <c r="H18" s="6" t="s">
        <v>8</v>
      </c>
      <c r="I18" s="6" t="s">
        <v>9</v>
      </c>
      <c r="J18" s="6" t="s">
        <v>10</v>
      </c>
      <c r="K18" s="4" t="s">
        <v>11</v>
      </c>
      <c r="L18" s="5" t="s">
        <v>12</v>
      </c>
      <c r="M18" s="5" t="s">
        <v>13</v>
      </c>
      <c r="N18" s="5" t="s">
        <v>14</v>
      </c>
      <c r="O18" s="5" t="s">
        <v>15</v>
      </c>
      <c r="P18" s="5" t="s">
        <v>16</v>
      </c>
      <c r="Q18" s="6" t="s">
        <v>17</v>
      </c>
      <c r="R18" s="4" t="s">
        <v>18</v>
      </c>
      <c r="S18" s="4" t="s">
        <v>19</v>
      </c>
      <c r="T18" s="6" t="s">
        <v>20</v>
      </c>
      <c r="U18" s="4" t="s">
        <v>21</v>
      </c>
      <c r="V18" s="1"/>
    </row>
    <row r="19" spans="1:22" ht="24" customHeight="1">
      <c r="A19" s="1"/>
      <c r="B19" s="7" t="str">
        <f>HYPERLINK("https://www.compass.com/listing/87-70-173rd-street-unit-7d-queens-ny-11432/1839439569020409849/view?agent_id=610d3f3370540700019b0833","87-70 173rd Street, Unit 7D")</f>
        <v>87-70 173rd Street, Unit 7D</v>
      </c>
      <c r="C19" s="8" t="s">
        <v>34</v>
      </c>
      <c r="D19" s="9" t="s">
        <v>23</v>
      </c>
      <c r="E19" s="10" t="str">
        <f>HYPERLINK("https://www.compass.com/building/87-70-173rd-st-queens-ny-11432/293417969093019925/","87-70 173rd St")</f>
        <v>87-70 173rd St</v>
      </c>
      <c r="F19" s="8" t="s">
        <v>27</v>
      </c>
      <c r="G19" s="11">
        <v>225000</v>
      </c>
      <c r="H19" s="11">
        <v>237</v>
      </c>
      <c r="I19" s="11">
        <v>1040</v>
      </c>
      <c r="J19" s="11"/>
      <c r="K19" s="8" t="s">
        <v>28</v>
      </c>
      <c r="L19" s="9">
        <v>5</v>
      </c>
      <c r="M19" s="9">
        <v>2</v>
      </c>
      <c r="N19" s="9">
        <v>1</v>
      </c>
      <c r="O19" s="9"/>
      <c r="P19" s="9">
        <v>950</v>
      </c>
      <c r="Q19" s="12">
        <v>23</v>
      </c>
      <c r="R19" s="13">
        <v>45813</v>
      </c>
      <c r="S19" s="13">
        <v>45789</v>
      </c>
      <c r="T19" s="11"/>
      <c r="U19" s="13"/>
      <c r="V19" s="1"/>
    </row>
    <row r="20" spans="1:22" ht="24" customHeight="1">
      <c r="A20" s="1"/>
      <c r="B20" s="14" t="str">
        <f>HYPERLINK("https://www.compass.com/listing/111-20-139th-street-queens-ny-11435/1851838610512730209/view?agent_id=610d3f3370540700019b0833","111-20 139th Street")</f>
        <v>111-20 139th Street</v>
      </c>
      <c r="C20" s="15" t="s">
        <v>34</v>
      </c>
      <c r="D20" s="16" t="s">
        <v>23</v>
      </c>
      <c r="E20" s="17" t="str">
        <f>HYPERLINK("https://www.compass.com/building/111-20-139th-st-queens-ny-11435/293534800902387045/","111-20 139th St")</f>
        <v>111-20 139th St</v>
      </c>
      <c r="F20" s="15" t="s">
        <v>24</v>
      </c>
      <c r="G20" s="18">
        <v>575000</v>
      </c>
      <c r="H20" s="18">
        <v>719</v>
      </c>
      <c r="I20" s="18">
        <v>103</v>
      </c>
      <c r="J20" s="18">
        <v>1240</v>
      </c>
      <c r="K20" s="15" t="s">
        <v>26</v>
      </c>
      <c r="L20" s="16">
        <v>5</v>
      </c>
      <c r="M20" s="16">
        <v>2</v>
      </c>
      <c r="N20" s="16">
        <v>1</v>
      </c>
      <c r="O20" s="16"/>
      <c r="P20" s="16">
        <v>800</v>
      </c>
      <c r="Q20" s="19">
        <v>8</v>
      </c>
      <c r="R20" s="20">
        <v>45821</v>
      </c>
      <c r="S20" s="20">
        <v>45806</v>
      </c>
      <c r="T20" s="18"/>
      <c r="U20" s="20"/>
      <c r="V20" s="1"/>
    </row>
    <row r="21" spans="1:22" ht="24" customHeight="1">
      <c r="A21" s="1"/>
      <c r="B21" s="14" t="str">
        <f>HYPERLINK("https://www.compass.com/listing/103-31-177th-street-queens-ny-11433/1781175443634225801/view?agent_id=610d3f3370540700019b0833","103-31 177th Street")</f>
        <v>103-31 177th Street</v>
      </c>
      <c r="C21" s="15" t="s">
        <v>34</v>
      </c>
      <c r="D21" s="16" t="s">
        <v>23</v>
      </c>
      <c r="E21" s="17" t="str">
        <f>HYPERLINK("https://www.compass.com/building/103-31-177th-st-queens-ny-11433/293527229772632917/","103-31 177th St")</f>
        <v>103-31 177th St</v>
      </c>
      <c r="F21" s="15" t="s">
        <v>24</v>
      </c>
      <c r="G21" s="18">
        <v>455000</v>
      </c>
      <c r="H21" s="18">
        <v>427</v>
      </c>
      <c r="I21" s="18">
        <v>266</v>
      </c>
      <c r="J21" s="18">
        <v>3195</v>
      </c>
      <c r="K21" s="15" t="s">
        <v>26</v>
      </c>
      <c r="L21" s="16">
        <v>5</v>
      </c>
      <c r="M21" s="16">
        <v>2</v>
      </c>
      <c r="N21" s="16">
        <v>1</v>
      </c>
      <c r="O21" s="16"/>
      <c r="P21" s="21">
        <v>1065</v>
      </c>
      <c r="Q21" s="19">
        <v>4</v>
      </c>
      <c r="R21" s="20">
        <v>45758</v>
      </c>
      <c r="S21" s="20">
        <v>45709</v>
      </c>
      <c r="T21" s="18"/>
      <c r="U21" s="20"/>
      <c r="V21" s="1"/>
    </row>
    <row r="22" spans="1:22" ht="24" customHeight="1">
      <c r="A22" s="1"/>
      <c r="B22" s="14" t="str">
        <f>HYPERLINK("https://www.compass.com/listing/157-12-brinkerhoff-avenue-queens-ny-11433/1561591359408502281/view?agent_id=610d3f3370540700019b0833","157-12 Brinkerhoff Avenue")</f>
        <v>157-12 Brinkerhoff Avenue</v>
      </c>
      <c r="C22" s="15" t="s">
        <v>34</v>
      </c>
      <c r="D22" s="16" t="s">
        <v>23</v>
      </c>
      <c r="E22" s="17" t="str">
        <f>HYPERLINK("https://www.compass.com/building/157-12-brinkerhoff-ave-queens-ny-11433/293528930084804085/","157-12 Brinkerhoff Ave")</f>
        <v>157-12 Brinkerhoff Ave</v>
      </c>
      <c r="F22" s="15" t="s">
        <v>24</v>
      </c>
      <c r="G22" s="18">
        <v>459000</v>
      </c>
      <c r="H22" s="18">
        <v>328</v>
      </c>
      <c r="I22" s="18">
        <v>333</v>
      </c>
      <c r="J22" s="18">
        <v>4000</v>
      </c>
      <c r="K22" s="15" t="s">
        <v>26</v>
      </c>
      <c r="L22" s="16">
        <v>5</v>
      </c>
      <c r="M22" s="16">
        <v>2</v>
      </c>
      <c r="N22" s="16">
        <v>1</v>
      </c>
      <c r="O22" s="16"/>
      <c r="P22" s="21">
        <v>1400</v>
      </c>
      <c r="Q22" s="19">
        <v>177</v>
      </c>
      <c r="R22" s="20">
        <v>45628</v>
      </c>
      <c r="S22" s="20">
        <v>45406</v>
      </c>
      <c r="T22" s="18"/>
      <c r="U22" s="20"/>
      <c r="V22" s="1"/>
    </row>
    <row r="23" spans="1:22" ht="24" customHeight="1">
      <c r="A23" s="1"/>
      <c r="B23" s="14" t="str">
        <f>HYPERLINK("https://www.compass.com/listing/87-70-173rd-street-unit-6h-queens-ny-11432/1598734617719763545/view?agent_id=610d3f3370540700019b0833","87-70 173rd Street, Unit 6H")</f>
        <v>87-70 173rd Street, Unit 6H</v>
      </c>
      <c r="C23" s="15" t="s">
        <v>34</v>
      </c>
      <c r="D23" s="16" t="s">
        <v>23</v>
      </c>
      <c r="E23" s="17" t="str">
        <f>HYPERLINK("https://www.compass.com/building/87-70-173rd-st-queens-ny-11432/293417969093019925/","87-70 173rd St")</f>
        <v>87-70 173rd St</v>
      </c>
      <c r="F23" s="15" t="s">
        <v>27</v>
      </c>
      <c r="G23" s="18">
        <v>195000</v>
      </c>
      <c r="H23" s="18"/>
      <c r="I23" s="18">
        <v>840</v>
      </c>
      <c r="J23" s="18">
        <v>0</v>
      </c>
      <c r="K23" s="15" t="s">
        <v>28</v>
      </c>
      <c r="L23" s="16">
        <v>5</v>
      </c>
      <c r="M23" s="16">
        <v>2</v>
      </c>
      <c r="N23" s="16">
        <v>1</v>
      </c>
      <c r="O23" s="16">
        <v>0</v>
      </c>
      <c r="P23" s="16"/>
      <c r="Q23" s="19">
        <v>140</v>
      </c>
      <c r="R23" s="20">
        <v>45674</v>
      </c>
      <c r="S23" s="20">
        <v>45457</v>
      </c>
      <c r="T23" s="18"/>
      <c r="U23" s="20"/>
      <c r="V23" s="1"/>
    </row>
    <row r="24" spans="1:22" ht="24" customHeight="1">
      <c r="A24" s="1"/>
      <c r="B24" s="14" t="str">
        <f>HYPERLINK("https://www.compass.com/listing/89-00-170th-street-unit-7d-queens-ny-11432/1475479970557003489/view?agent_id=610d3f3370540700019b0833","89-00 170th Street, Unit 7D")</f>
        <v>89-00 170th Street, Unit 7D</v>
      </c>
      <c r="C24" s="15" t="s">
        <v>34</v>
      </c>
      <c r="D24" s="16" t="s">
        <v>23</v>
      </c>
      <c r="E24" s="17" t="str">
        <f t="shared" ref="E24:E25" si="2">HYPERLINK("https://www.compass.com/building/89-00-170th-st-queens-ny-11432/307449656485080949/","89-00 170th St")</f>
        <v>89-00 170th St</v>
      </c>
      <c r="F24" s="15" t="s">
        <v>24</v>
      </c>
      <c r="G24" s="18">
        <v>199000</v>
      </c>
      <c r="H24" s="18"/>
      <c r="I24" s="18">
        <v>1167</v>
      </c>
      <c r="J24" s="18">
        <v>0</v>
      </c>
      <c r="K24" s="15" t="s">
        <v>28</v>
      </c>
      <c r="L24" s="16">
        <v>5</v>
      </c>
      <c r="M24" s="16">
        <v>2</v>
      </c>
      <c r="N24" s="16">
        <v>1</v>
      </c>
      <c r="O24" s="16"/>
      <c r="P24" s="16"/>
      <c r="Q24" s="19">
        <v>28</v>
      </c>
      <c r="R24" s="20">
        <v>45632</v>
      </c>
      <c r="S24" s="20">
        <v>45287</v>
      </c>
      <c r="T24" s="18"/>
      <c r="U24" s="20"/>
      <c r="V24" s="1"/>
    </row>
    <row r="25" spans="1:22" ht="24" customHeight="1">
      <c r="A25" s="1"/>
      <c r="B25" s="14" t="str">
        <f>HYPERLINK("https://www.compass.com/listing/89-00-170th-street-unit-7d-queens-ny-11432/1094158233442444305/view?agent_id=610d3f3370540700019b0833","89-00 170th Street, Unit 7D")</f>
        <v>89-00 170th Street, Unit 7D</v>
      </c>
      <c r="C25" s="15" t="s">
        <v>34</v>
      </c>
      <c r="D25" s="16" t="s">
        <v>23</v>
      </c>
      <c r="E25" s="17" t="str">
        <f t="shared" si="2"/>
        <v>89-00 170th St</v>
      </c>
      <c r="F25" s="15" t="s">
        <v>24</v>
      </c>
      <c r="G25" s="18">
        <v>225000</v>
      </c>
      <c r="H25" s="18"/>
      <c r="I25" s="18">
        <v>1156</v>
      </c>
      <c r="J25" s="18">
        <v>0</v>
      </c>
      <c r="K25" s="15" t="s">
        <v>35</v>
      </c>
      <c r="L25" s="16">
        <v>6</v>
      </c>
      <c r="M25" s="16">
        <v>2</v>
      </c>
      <c r="N25" s="16">
        <v>1</v>
      </c>
      <c r="O25" s="16"/>
      <c r="P25" s="16"/>
      <c r="Q25" s="19">
        <v>204</v>
      </c>
      <c r="R25" s="20">
        <v>45637</v>
      </c>
      <c r="S25" s="20">
        <v>44761</v>
      </c>
      <c r="T25" s="18"/>
      <c r="U25" s="20"/>
      <c r="V25" s="1"/>
    </row>
    <row r="26" spans="1:22" ht="24" customHeight="1">
      <c r="A26" s="1"/>
      <c r="B26" s="14" t="str">
        <f>HYPERLINK("https://www.compass.com/listing/89-15-parsons-boulevard-unit-11l-queens-ny-11432/1737877193280922729/view?agent_id=610d3f3370540700019b0833","89-15 Parsons Boulevard, Unit 11L")</f>
        <v>89-15 Parsons Boulevard, Unit 11L</v>
      </c>
      <c r="C26" s="15" t="s">
        <v>34</v>
      </c>
      <c r="D26" s="16" t="s">
        <v>23</v>
      </c>
      <c r="E26" s="17" t="str">
        <f t="shared" ref="E26:E27" si="3">HYPERLINK("https://www.compass.com/building/89-15-parsons-blvd-queens-ny-11432/293527323523755221/","89-15 Parsons Blvd")</f>
        <v>89-15 Parsons Blvd</v>
      </c>
      <c r="F26" s="15" t="s">
        <v>24</v>
      </c>
      <c r="G26" s="18">
        <v>230000</v>
      </c>
      <c r="H26" s="18">
        <v>209</v>
      </c>
      <c r="I26" s="18">
        <v>0</v>
      </c>
      <c r="J26" s="18"/>
      <c r="K26" s="15" t="s">
        <v>28</v>
      </c>
      <c r="L26" s="16">
        <v>5</v>
      </c>
      <c r="M26" s="16">
        <v>2</v>
      </c>
      <c r="N26" s="16">
        <v>1</v>
      </c>
      <c r="O26" s="16"/>
      <c r="P26" s="21">
        <v>1100</v>
      </c>
      <c r="Q26" s="19">
        <v>156</v>
      </c>
      <c r="R26" s="20">
        <v>45806</v>
      </c>
      <c r="S26" s="20">
        <v>45649</v>
      </c>
      <c r="T26" s="18"/>
      <c r="U26" s="20"/>
      <c r="V26" s="1"/>
    </row>
    <row r="27" spans="1:22" ht="24" customHeight="1">
      <c r="A27" s="1"/>
      <c r="B27" s="14" t="str">
        <f>HYPERLINK("https://www.compass.com/listing/89-15-parsons-boulevard-unit-123h-queens-ny-11432/1492569122727242729/view?agent_id=610d3f3370540700019b0833","89-15 Parsons Boulevard, Unit 123H")</f>
        <v>89-15 Parsons Boulevard, Unit 123H</v>
      </c>
      <c r="C27" s="15" t="s">
        <v>34</v>
      </c>
      <c r="D27" s="16" t="s">
        <v>23</v>
      </c>
      <c r="E27" s="17" t="str">
        <f t="shared" si="3"/>
        <v>89-15 Parsons Blvd</v>
      </c>
      <c r="F27" s="15" t="s">
        <v>24</v>
      </c>
      <c r="G27" s="18">
        <v>249999</v>
      </c>
      <c r="H27" s="18"/>
      <c r="I27" s="18">
        <v>1025</v>
      </c>
      <c r="J27" s="18">
        <v>0</v>
      </c>
      <c r="K27" s="15" t="s">
        <v>28</v>
      </c>
      <c r="L27" s="16">
        <v>4</v>
      </c>
      <c r="M27" s="16">
        <v>2</v>
      </c>
      <c r="N27" s="16"/>
      <c r="O27" s="16"/>
      <c r="P27" s="16"/>
      <c r="Q27" s="19">
        <v>292</v>
      </c>
      <c r="R27" s="20">
        <v>45602</v>
      </c>
      <c r="S27" s="20">
        <v>45310</v>
      </c>
      <c r="T27" s="18"/>
      <c r="U27" s="20"/>
      <c r="V27" s="1"/>
    </row>
    <row r="28" spans="1:22" ht="24" customHeight="1">
      <c r="A28" s="1"/>
      <c r="B28" s="14" t="str">
        <f>HYPERLINK("https://www.compass.com/listing/138-49-102nd-avenue-queens-ny-11435/1787325087310154833/view?agent_id=610d3f3370540700019b0833","138-49 102nd Avenue")</f>
        <v>138-49 102nd Avenue</v>
      </c>
      <c r="C28" s="15" t="s">
        <v>34</v>
      </c>
      <c r="D28" s="16" t="s">
        <v>23</v>
      </c>
      <c r="E28" s="17" t="str">
        <f>HYPERLINK("https://www.compass.com/building/138-49-102nd-ave-queens-ny-11435/293527987339471957/","138-49 102nd Ave")</f>
        <v>138-49 102nd Ave</v>
      </c>
      <c r="F28" s="15" t="s">
        <v>24</v>
      </c>
      <c r="G28" s="18">
        <v>599000</v>
      </c>
      <c r="H28" s="18">
        <v>545</v>
      </c>
      <c r="I28" s="18">
        <v>0</v>
      </c>
      <c r="J28" s="18">
        <v>0</v>
      </c>
      <c r="K28" s="15" t="s">
        <v>26</v>
      </c>
      <c r="L28" s="16">
        <v>5</v>
      </c>
      <c r="M28" s="16">
        <v>2</v>
      </c>
      <c r="N28" s="16">
        <v>1</v>
      </c>
      <c r="O28" s="16"/>
      <c r="P28" s="21">
        <v>1100</v>
      </c>
      <c r="Q28" s="19">
        <v>108</v>
      </c>
      <c r="R28" s="20">
        <v>45848</v>
      </c>
      <c r="S28" s="20">
        <v>45717</v>
      </c>
      <c r="T28" s="18"/>
      <c r="U28" s="20"/>
      <c r="V28" s="1"/>
    </row>
    <row r="29" spans="1:22" ht="24" customHeight="1">
      <c r="A29" s="1"/>
      <c r="B29" s="22" t="s">
        <v>31</v>
      </c>
      <c r="C29" s="22"/>
      <c r="D29" s="23"/>
      <c r="E29" s="23"/>
      <c r="F29" s="22"/>
      <c r="G29" s="24">
        <f ca="1">IFERROR(__xludf.DUMMYFUNCTION("TO_DOLLARS(IFERROR(AVERAGE(G19:G28)))"),341199.9)</f>
        <v>341199.9</v>
      </c>
      <c r="H29" s="24">
        <f ca="1">IFERROR(__xludf.DUMMYFUNCTION("TO_DOLLARS(IFERROR(AVERAGE(H19:H28)))"),410.833333333333)</f>
        <v>410.83333333333297</v>
      </c>
      <c r="I29" s="24">
        <f ca="1">IFERROR(__xludf.DUMMYFUNCTION("TO_DOLLARS(IFERROR(AVERAGE(I19:I28)))"),593)</f>
        <v>593</v>
      </c>
      <c r="J29" s="24">
        <f ca="1">IFERROR(__xludf.DUMMYFUNCTION("TO_DOLLARS(IFERROR(AVERAGE(J19:J28)))"),1054.375)</f>
        <v>1054.375</v>
      </c>
      <c r="K29" s="22"/>
      <c r="L29" s="23"/>
      <c r="M29" s="23"/>
      <c r="N29" s="23"/>
      <c r="O29" s="23"/>
      <c r="P29" s="23">
        <f t="shared" ref="P29:Q29" si="4">IFERROR(AVERAGE(P19:P28),"")</f>
        <v>1069.1666666666667</v>
      </c>
      <c r="Q29" s="25">
        <f t="shared" si="4"/>
        <v>114</v>
      </c>
      <c r="R29" s="26"/>
      <c r="S29" s="26"/>
      <c r="T29" s="24" t="str">
        <f ca="1">IFERROR(__xludf.DUMMYFUNCTION("TO_DOLLARS(IFERROR(AVERAGE(T19:T28)))"),"")</f>
        <v/>
      </c>
      <c r="U29" s="26"/>
      <c r="V29" s="1"/>
    </row>
    <row r="30" spans="1:22" ht="24" customHeight="1">
      <c r="A30" s="1"/>
      <c r="B30" s="27" t="s">
        <v>32</v>
      </c>
      <c r="C30" s="27"/>
      <c r="D30" s="28"/>
      <c r="E30" s="28"/>
      <c r="F30" s="27"/>
      <c r="G30" s="29">
        <f ca="1">IFERROR(__xludf.DUMMYFUNCTION("TO_DOLLARS(IFERROR(MEDIAN(G19:G28)))"),239999.5)</f>
        <v>239999.5</v>
      </c>
      <c r="H30" s="29">
        <f ca="1">IFERROR(__xludf.DUMMYFUNCTION("TO_DOLLARS(IFERROR(MEDIAN(H19:H28)))"),377.5)</f>
        <v>377.5</v>
      </c>
      <c r="I30" s="29">
        <f ca="1">IFERROR(__xludf.DUMMYFUNCTION("TO_DOLLARS(IFERROR(MEDIAN(I19:I28)))"),586.5)</f>
        <v>586.5</v>
      </c>
      <c r="J30" s="29">
        <f ca="1">IFERROR(__xludf.DUMMYFUNCTION("TO_DOLLARS(IFERROR(MEDIAN(J19:J28)))"),0)</f>
        <v>0</v>
      </c>
      <c r="K30" s="27"/>
      <c r="L30" s="28"/>
      <c r="M30" s="28"/>
      <c r="N30" s="28"/>
      <c r="O30" s="28"/>
      <c r="P30" s="28">
        <f t="shared" ref="P30:Q30" si="5">IFERROR(MEDIAN(P19:P28),"")</f>
        <v>1082.5</v>
      </c>
      <c r="Q30" s="30">
        <f t="shared" si="5"/>
        <v>124</v>
      </c>
      <c r="R30" s="31"/>
      <c r="S30" s="31"/>
      <c r="T30" s="29" t="str">
        <f ca="1">IFERROR(__xludf.DUMMYFUNCTION("TO_DOLLARS(IFERROR(MEDIAN(T19:T28)))"),"")</f>
        <v/>
      </c>
      <c r="U30" s="31"/>
      <c r="V30" s="1"/>
    </row>
    <row r="31" spans="1:22" ht="13">
      <c r="A31" s="1"/>
      <c r="B31" s="2"/>
      <c r="C31" s="2"/>
      <c r="D31" s="2"/>
      <c r="E31" s="2"/>
      <c r="F31" s="2"/>
      <c r="G31" s="2"/>
      <c r="H31" s="2"/>
      <c r="I31" s="2"/>
      <c r="J31" s="2"/>
      <c r="K31" s="2"/>
      <c r="L31" s="2"/>
      <c r="M31" s="2"/>
      <c r="N31" s="2"/>
      <c r="O31" s="2"/>
      <c r="P31" s="2"/>
      <c r="Q31" s="2"/>
      <c r="R31" s="2"/>
      <c r="S31" s="2"/>
      <c r="T31" s="2"/>
      <c r="U31" s="2"/>
      <c r="V31" s="1"/>
    </row>
    <row r="32" spans="1:22" ht="24" customHeight="1">
      <c r="A32" s="1"/>
      <c r="B32" s="33" t="s">
        <v>36</v>
      </c>
      <c r="C32" s="34"/>
      <c r="D32" s="34"/>
      <c r="E32" s="34"/>
      <c r="F32" s="34"/>
      <c r="G32" s="34"/>
      <c r="H32" s="34"/>
      <c r="I32" s="34"/>
      <c r="J32" s="34"/>
      <c r="K32" s="34"/>
      <c r="L32" s="34"/>
      <c r="M32" s="34"/>
      <c r="N32" s="34"/>
      <c r="O32" s="34"/>
      <c r="P32" s="34"/>
      <c r="Q32" s="34"/>
      <c r="R32" s="34"/>
      <c r="S32" s="34"/>
      <c r="T32" s="34"/>
      <c r="U32" s="35"/>
      <c r="V32" s="1"/>
    </row>
    <row r="33" spans="1:22" ht="24" customHeight="1">
      <c r="A33" s="1"/>
      <c r="B33" s="4" t="s">
        <v>2</v>
      </c>
      <c r="C33" s="4" t="s">
        <v>3</v>
      </c>
      <c r="D33" s="5" t="s">
        <v>4</v>
      </c>
      <c r="E33" s="5" t="s">
        <v>5</v>
      </c>
      <c r="F33" s="4" t="s">
        <v>6</v>
      </c>
      <c r="G33" s="6" t="s">
        <v>7</v>
      </c>
      <c r="H33" s="6" t="s">
        <v>8</v>
      </c>
      <c r="I33" s="6" t="s">
        <v>9</v>
      </c>
      <c r="J33" s="6" t="s">
        <v>10</v>
      </c>
      <c r="K33" s="4" t="s">
        <v>11</v>
      </c>
      <c r="L33" s="5" t="s">
        <v>12</v>
      </c>
      <c r="M33" s="5" t="s">
        <v>13</v>
      </c>
      <c r="N33" s="5" t="s">
        <v>14</v>
      </c>
      <c r="O33" s="5" t="s">
        <v>15</v>
      </c>
      <c r="P33" s="5" t="s">
        <v>16</v>
      </c>
      <c r="Q33" s="6" t="s">
        <v>17</v>
      </c>
      <c r="R33" s="4" t="s">
        <v>18</v>
      </c>
      <c r="S33" s="4" t="s">
        <v>19</v>
      </c>
      <c r="T33" s="6" t="s">
        <v>20</v>
      </c>
      <c r="U33" s="4" t="s">
        <v>21</v>
      </c>
      <c r="V33" s="1"/>
    </row>
    <row r="34" spans="1:22" ht="24" customHeight="1">
      <c r="A34" s="1"/>
      <c r="B34" s="7" t="str">
        <f>HYPERLINK("https://www.compass.com/listing/107-07-157th-street-queens-ny-11433/212246820271765569/view?agent_id=610d3f3370540700019b0833","107-07 157th Street")</f>
        <v>107-07 157th Street</v>
      </c>
      <c r="C34" s="8" t="s">
        <v>37</v>
      </c>
      <c r="D34" s="9" t="s">
        <v>23</v>
      </c>
      <c r="E34" s="10" t="str">
        <f>HYPERLINK("https://www.compass.com/building/107-07-157th-st-queens-ny-11433/293529430792381733/","107-07 157th St")</f>
        <v>107-07 157th St</v>
      </c>
      <c r="F34" s="8" t="s">
        <v>24</v>
      </c>
      <c r="G34" s="11">
        <v>307125</v>
      </c>
      <c r="H34" s="11">
        <v>373</v>
      </c>
      <c r="I34" s="11">
        <v>189</v>
      </c>
      <c r="J34" s="11">
        <v>2273</v>
      </c>
      <c r="K34" s="8" t="s">
        <v>38</v>
      </c>
      <c r="L34" s="9">
        <v>5</v>
      </c>
      <c r="M34" s="9">
        <v>2</v>
      </c>
      <c r="N34" s="9">
        <v>1</v>
      </c>
      <c r="O34" s="9"/>
      <c r="P34" s="9">
        <v>824</v>
      </c>
      <c r="Q34" s="12">
        <v>35</v>
      </c>
      <c r="R34" s="13">
        <v>45627</v>
      </c>
      <c r="S34" s="13">
        <v>43544</v>
      </c>
      <c r="T34" s="11">
        <v>307125</v>
      </c>
      <c r="U34" s="13">
        <v>43607</v>
      </c>
      <c r="V34" s="1"/>
    </row>
    <row r="35" spans="1:22" ht="24" customHeight="1">
      <c r="A35" s="1"/>
      <c r="B35" s="14" t="str">
        <f>HYPERLINK("https://www.compass.com/listing/168-04-brinkerhoff-avenue-queens-ny-11433/196917262534406721/view?agent_id=610d3f3370540700019b0833","168-04 Brinkerhoff Avenue")</f>
        <v>168-04 Brinkerhoff Avenue</v>
      </c>
      <c r="C35" s="15" t="s">
        <v>37</v>
      </c>
      <c r="D35" s="16" t="s">
        <v>23</v>
      </c>
      <c r="E35" s="17" t="str">
        <f>HYPERLINK("https://www.compass.com/building/168-04-brinkerhoff-ave-queens-ny-11433/293533417696523509/","168-04 Brinkerhoff Ave")</f>
        <v>168-04 Brinkerhoff Ave</v>
      </c>
      <c r="F35" s="15" t="s">
        <v>24</v>
      </c>
      <c r="G35" s="18">
        <v>360000</v>
      </c>
      <c r="H35" s="18">
        <v>317</v>
      </c>
      <c r="I35" s="18">
        <v>229</v>
      </c>
      <c r="J35" s="18">
        <v>2745</v>
      </c>
      <c r="K35" s="15" t="s">
        <v>38</v>
      </c>
      <c r="L35" s="16">
        <v>5</v>
      </c>
      <c r="M35" s="16">
        <v>2</v>
      </c>
      <c r="N35" s="16">
        <v>1</v>
      </c>
      <c r="O35" s="16"/>
      <c r="P35" s="21">
        <v>1136</v>
      </c>
      <c r="Q35" s="19">
        <v>16</v>
      </c>
      <c r="R35" s="20">
        <v>45627</v>
      </c>
      <c r="S35" s="20">
        <v>43494</v>
      </c>
      <c r="T35" s="18">
        <v>360000</v>
      </c>
      <c r="U35" s="20">
        <v>43570</v>
      </c>
      <c r="V35" s="1"/>
    </row>
    <row r="36" spans="1:22" ht="24" customHeight="1">
      <c r="A36" s="1"/>
      <c r="B36" s="14" t="str">
        <f>HYPERLINK("https://www.compass.com/listing/107-26-watson-place-queens-ny-11433/196975198564523057/view?agent_id=610d3f3370540700019b0833","107-26 Watson Place")</f>
        <v>107-26 Watson Place</v>
      </c>
      <c r="C36" s="15" t="s">
        <v>37</v>
      </c>
      <c r="D36" s="16" t="s">
        <v>23</v>
      </c>
      <c r="E36" s="17" t="str">
        <f>HYPERLINK("https://www.compass.com/building/107-26-watson-pl-queens-ny-11433/293534514876035525/","107-26 Watson Pl")</f>
        <v>107-26 Watson Pl</v>
      </c>
      <c r="F36" s="15" t="s">
        <v>24</v>
      </c>
      <c r="G36" s="18">
        <v>251000</v>
      </c>
      <c r="H36" s="18"/>
      <c r="I36" s="18">
        <v>251</v>
      </c>
      <c r="J36" s="18">
        <v>3009</v>
      </c>
      <c r="K36" s="15" t="s">
        <v>38</v>
      </c>
      <c r="L36" s="16">
        <v>4</v>
      </c>
      <c r="M36" s="16">
        <v>2</v>
      </c>
      <c r="N36" s="16">
        <v>1</v>
      </c>
      <c r="O36" s="16"/>
      <c r="P36" s="16"/>
      <c r="Q36" s="19">
        <v>280</v>
      </c>
      <c r="R36" s="20">
        <v>45627</v>
      </c>
      <c r="S36" s="20">
        <v>43475</v>
      </c>
      <c r="T36" s="18">
        <v>251000</v>
      </c>
      <c r="U36" s="20">
        <v>43791</v>
      </c>
      <c r="V36" s="1"/>
    </row>
    <row r="37" spans="1:22" ht="24" customHeight="1">
      <c r="A37" s="1"/>
      <c r="B37" s="14" t="str">
        <f>HYPERLINK("https://www.compass.com/listing/111-38-167th-street-queens-ny-11433/29131283082784865/view?agent_id=610d3f3370540700019b0833","111-38 167th Street")</f>
        <v>111-38 167th Street</v>
      </c>
      <c r="C37" s="15" t="s">
        <v>37</v>
      </c>
      <c r="D37" s="16" t="s">
        <v>23</v>
      </c>
      <c r="E37" s="17" t="str">
        <f>HYPERLINK("https://www.compass.com/building/111-38-167th-st-queens-ny-11433/293532473483195525/","111-38 167th St")</f>
        <v>111-38 167th St</v>
      </c>
      <c r="F37" s="15" t="s">
        <v>24</v>
      </c>
      <c r="G37" s="18">
        <v>325000</v>
      </c>
      <c r="H37" s="18">
        <v>120</v>
      </c>
      <c r="I37" s="18">
        <v>170</v>
      </c>
      <c r="J37" s="18">
        <v>2036</v>
      </c>
      <c r="K37" s="15" t="s">
        <v>38</v>
      </c>
      <c r="L37" s="16">
        <v>8</v>
      </c>
      <c r="M37" s="16">
        <v>2</v>
      </c>
      <c r="N37" s="16">
        <v>1</v>
      </c>
      <c r="O37" s="16"/>
      <c r="P37" s="21">
        <v>2700</v>
      </c>
      <c r="Q37" s="19">
        <v>157</v>
      </c>
      <c r="R37" s="20">
        <v>45617</v>
      </c>
      <c r="S37" s="20">
        <v>42643</v>
      </c>
      <c r="T37" s="18">
        <v>325000</v>
      </c>
      <c r="U37" s="20">
        <v>42943</v>
      </c>
      <c r="V37" s="1"/>
    </row>
    <row r="38" spans="1:22" ht="24" customHeight="1">
      <c r="A38" s="1"/>
      <c r="B38" s="14" t="str">
        <f>HYPERLINK("https://www.compass.com/listing/174-07-109th-avenue-queens-ny-11433/29131763431279457/view?agent_id=610d3f3370540700019b0833","174-07 109th Avenue")</f>
        <v>174-07 109th Avenue</v>
      </c>
      <c r="C38" s="15" t="s">
        <v>37</v>
      </c>
      <c r="D38" s="16" t="s">
        <v>23</v>
      </c>
      <c r="E38" s="17" t="str">
        <f>HYPERLINK("https://www.compass.com/building/174-07-109th-ave-queens-ny-11433/293532186441687189/","174-07 109th Ave")</f>
        <v>174-07 109th Ave</v>
      </c>
      <c r="F38" s="15" t="s">
        <v>24</v>
      </c>
      <c r="G38" s="18">
        <v>240000</v>
      </c>
      <c r="H38" s="18"/>
      <c r="I38" s="18">
        <v>274</v>
      </c>
      <c r="J38" s="18">
        <v>3291</v>
      </c>
      <c r="K38" s="15" t="s">
        <v>38</v>
      </c>
      <c r="L38" s="16">
        <v>4</v>
      </c>
      <c r="M38" s="16">
        <v>2</v>
      </c>
      <c r="N38" s="16">
        <v>1</v>
      </c>
      <c r="O38" s="16">
        <v>0</v>
      </c>
      <c r="P38" s="16"/>
      <c r="Q38" s="19">
        <v>24</v>
      </c>
      <c r="R38" s="20">
        <v>45625</v>
      </c>
      <c r="S38" s="20">
        <v>42556</v>
      </c>
      <c r="T38" s="18">
        <v>240000</v>
      </c>
      <c r="U38" s="20">
        <v>42597</v>
      </c>
      <c r="V38" s="1"/>
    </row>
    <row r="39" spans="1:22" ht="24" customHeight="1">
      <c r="A39" s="1"/>
      <c r="B39" s="14" t="str">
        <f>HYPERLINK("https://www.compass.com/listing/112-18-168th-street-queens-ny-11433/1764929623234990249/view?agent_id=610d3f3370540700019b0833","112-18 168th Street")</f>
        <v>112-18 168th Street</v>
      </c>
      <c r="C39" s="15" t="s">
        <v>37</v>
      </c>
      <c r="D39" s="16" t="s">
        <v>23</v>
      </c>
      <c r="E39" s="17" t="str">
        <f>HYPERLINK("https://www.compass.com/building/112-18-168th-st-queens-ny-11433/293531359392099829/","112-18 168th St")</f>
        <v>112-18 168th St</v>
      </c>
      <c r="F39" s="15" t="s">
        <v>24</v>
      </c>
      <c r="G39" s="18">
        <v>230000</v>
      </c>
      <c r="H39" s="18"/>
      <c r="I39" s="18">
        <v>250</v>
      </c>
      <c r="J39" s="18">
        <v>3000</v>
      </c>
      <c r="K39" s="15" t="s">
        <v>38</v>
      </c>
      <c r="L39" s="16">
        <v>5</v>
      </c>
      <c r="M39" s="16">
        <v>2</v>
      </c>
      <c r="N39" s="16">
        <v>1</v>
      </c>
      <c r="O39" s="16">
        <v>0</v>
      </c>
      <c r="P39" s="16"/>
      <c r="Q39" s="19">
        <v>557</v>
      </c>
      <c r="R39" s="20">
        <v>45616</v>
      </c>
      <c r="S39" s="20">
        <v>42083</v>
      </c>
      <c r="T39" s="18">
        <v>230000</v>
      </c>
      <c r="U39" s="20">
        <v>42667</v>
      </c>
      <c r="V39" s="1"/>
    </row>
    <row r="40" spans="1:22" ht="24" customHeight="1">
      <c r="A40" s="1"/>
      <c r="B40" s="14" t="str">
        <f>HYPERLINK("https://www.compass.com/listing/108-27-fern-place-queens-ny-11433/197771611246535329/view?agent_id=610d3f3370540700019b0833","108-27 Fern Pl")</f>
        <v>108-27 Fern Pl</v>
      </c>
      <c r="C40" s="15" t="s">
        <v>37</v>
      </c>
      <c r="D40" s="16" t="s">
        <v>23</v>
      </c>
      <c r="E40" s="17" t="str">
        <f>HYPERLINK("https://www.compass.com/building/108-27-fern-pl-queens-ny-11433/293534651660732165/","108-27 Fern Pl")</f>
        <v>108-27 Fern Pl</v>
      </c>
      <c r="F40" s="15" t="s">
        <v>24</v>
      </c>
      <c r="G40" s="18">
        <v>400000</v>
      </c>
      <c r="H40" s="18"/>
      <c r="I40" s="18">
        <v>291</v>
      </c>
      <c r="J40" s="18">
        <v>3491</v>
      </c>
      <c r="K40" s="15" t="s">
        <v>38</v>
      </c>
      <c r="L40" s="16"/>
      <c r="M40" s="16">
        <v>2</v>
      </c>
      <c r="N40" s="16">
        <v>1</v>
      </c>
      <c r="O40" s="16">
        <v>0</v>
      </c>
      <c r="P40" s="16"/>
      <c r="Q40" s="19">
        <v>92</v>
      </c>
      <c r="R40" s="20">
        <v>44406</v>
      </c>
      <c r="S40" s="20">
        <v>43262</v>
      </c>
      <c r="T40" s="18">
        <v>400000</v>
      </c>
      <c r="U40" s="20">
        <v>43441</v>
      </c>
      <c r="V40" s="1"/>
    </row>
    <row r="41" spans="1:22" ht="24" customHeight="1">
      <c r="A41" s="1"/>
      <c r="B41" s="14" t="str">
        <f>HYPERLINK("https://www.compass.com/listing/109-38-174th-street-queens-ny-11433/480925127295728473/view?agent_id=610d3f3370540700019b0833","109-38 174th Street")</f>
        <v>109-38 174th Street</v>
      </c>
      <c r="C41" s="15" t="s">
        <v>37</v>
      </c>
      <c r="D41" s="16" t="s">
        <v>23</v>
      </c>
      <c r="E41" s="17" t="str">
        <f>HYPERLINK("https://www.compass.com/building/109-38-174th-st-queens-ny-11433/293526789303688949/","109-38 174th St")</f>
        <v>109-38 174th St</v>
      </c>
      <c r="F41" s="15" t="s">
        <v>24</v>
      </c>
      <c r="G41" s="18">
        <v>349700</v>
      </c>
      <c r="H41" s="18"/>
      <c r="I41" s="18">
        <v>290</v>
      </c>
      <c r="J41" s="18">
        <v>3482</v>
      </c>
      <c r="K41" s="15" t="s">
        <v>38</v>
      </c>
      <c r="L41" s="16">
        <v>5</v>
      </c>
      <c r="M41" s="16">
        <v>2</v>
      </c>
      <c r="N41" s="16">
        <v>1</v>
      </c>
      <c r="O41" s="16"/>
      <c r="P41" s="16"/>
      <c r="Q41" s="19">
        <v>34</v>
      </c>
      <c r="R41" s="20">
        <v>45617</v>
      </c>
      <c r="S41" s="20">
        <v>43446</v>
      </c>
      <c r="T41" s="18">
        <v>349700</v>
      </c>
      <c r="U41" s="20">
        <v>43545</v>
      </c>
      <c r="V41" s="1"/>
    </row>
    <row r="42" spans="1:22" ht="24" customHeight="1">
      <c r="A42" s="1"/>
      <c r="B42" s="14" t="str">
        <f>HYPERLINK("https://www.compass.com/listing/173-61-103rd-road-queens-ny-11433/141918650188784897/view?agent_id=610d3f3370540700019b0833","173-61 103rd Road")</f>
        <v>173-61 103rd Road</v>
      </c>
      <c r="C42" s="15" t="s">
        <v>37</v>
      </c>
      <c r="D42" s="16" t="s">
        <v>23</v>
      </c>
      <c r="E42" s="17" t="str">
        <f>HYPERLINK("https://www.compass.com/building/173-61-103rd-rd-queens-ny-11433/293529863543944117/","173-61 103rd Rd")</f>
        <v>173-61 103rd Rd</v>
      </c>
      <c r="F42" s="15" t="s">
        <v>24</v>
      </c>
      <c r="G42" s="18">
        <v>290000</v>
      </c>
      <c r="H42" s="18">
        <v>312</v>
      </c>
      <c r="I42" s="18">
        <v>256</v>
      </c>
      <c r="J42" s="18">
        <v>3069</v>
      </c>
      <c r="K42" s="15" t="s">
        <v>26</v>
      </c>
      <c r="L42" s="16">
        <v>6</v>
      </c>
      <c r="M42" s="16">
        <v>2</v>
      </c>
      <c r="N42" s="16">
        <v>1</v>
      </c>
      <c r="O42" s="16"/>
      <c r="P42" s="16">
        <v>930</v>
      </c>
      <c r="Q42" s="19">
        <v>14</v>
      </c>
      <c r="R42" s="20">
        <v>45617</v>
      </c>
      <c r="S42" s="20">
        <v>43374</v>
      </c>
      <c r="T42" s="18">
        <v>290000</v>
      </c>
      <c r="U42" s="20">
        <v>43434</v>
      </c>
      <c r="V42" s="1"/>
    </row>
    <row r="43" spans="1:22" ht="24" customHeight="1">
      <c r="A43" s="1"/>
      <c r="B43" s="14" t="str">
        <f>HYPERLINK("https://www.compass.com/listing/174-18-brinkerhoff-avenue-queens-ny-11433/272517730442205969/view?agent_id=610d3f3370540700019b0833","174-18 Brinkerhoff Avenue")</f>
        <v>174-18 Brinkerhoff Avenue</v>
      </c>
      <c r="C43" s="15" t="s">
        <v>37</v>
      </c>
      <c r="D43" s="16" t="s">
        <v>23</v>
      </c>
      <c r="E43" s="17" t="str">
        <f>HYPERLINK("https://www.compass.com/building/174-18-brinkerhoff-ave-queens-ny-11433/293530427560369029/","174-18 Brinkerhoff Ave")</f>
        <v>174-18 Brinkerhoff Ave</v>
      </c>
      <c r="F43" s="15" t="s">
        <v>24</v>
      </c>
      <c r="G43" s="18">
        <v>280000</v>
      </c>
      <c r="H43" s="18"/>
      <c r="I43" s="18">
        <v>335</v>
      </c>
      <c r="J43" s="18">
        <v>4025</v>
      </c>
      <c r="K43" s="15" t="s">
        <v>38</v>
      </c>
      <c r="L43" s="16">
        <v>4</v>
      </c>
      <c r="M43" s="16">
        <v>2</v>
      </c>
      <c r="N43" s="16">
        <v>1</v>
      </c>
      <c r="O43" s="16"/>
      <c r="P43" s="16"/>
      <c r="Q43" s="19">
        <v>107</v>
      </c>
      <c r="R43" s="20">
        <v>45617</v>
      </c>
      <c r="S43" s="20">
        <v>43627</v>
      </c>
      <c r="T43" s="18">
        <v>280000</v>
      </c>
      <c r="U43" s="20">
        <v>43768</v>
      </c>
      <c r="V43" s="1"/>
    </row>
    <row r="44" spans="1:22" ht="24" customHeight="1">
      <c r="A44" s="1"/>
      <c r="B44" s="14" t="str">
        <f>HYPERLINK("https://www.compass.com/listing/173-17-104th-avenue-queens-ny-11433/29131519977085665/view?agent_id=610d3f3370540700019b0833","173-17 104th Avenue")</f>
        <v>173-17 104th Avenue</v>
      </c>
      <c r="C44" s="15" t="s">
        <v>37</v>
      </c>
      <c r="D44" s="16" t="s">
        <v>23</v>
      </c>
      <c r="E44" s="17" t="str">
        <f>HYPERLINK("https://www.compass.com/building/173-17-104th-ave-queens-ny-11433/293533150863177861/","173-17 104th Ave")</f>
        <v>173-17 104th Ave</v>
      </c>
      <c r="F44" s="15" t="s">
        <v>24</v>
      </c>
      <c r="G44" s="18">
        <v>240000</v>
      </c>
      <c r="H44" s="18"/>
      <c r="I44" s="18">
        <v>150</v>
      </c>
      <c r="J44" s="18">
        <v>1800</v>
      </c>
      <c r="K44" s="15" t="s">
        <v>38</v>
      </c>
      <c r="L44" s="16">
        <v>6</v>
      </c>
      <c r="M44" s="16">
        <v>2</v>
      </c>
      <c r="N44" s="16">
        <v>1</v>
      </c>
      <c r="O44" s="16">
        <v>0</v>
      </c>
      <c r="P44" s="16"/>
      <c r="Q44" s="19">
        <v>118</v>
      </c>
      <c r="R44" s="20">
        <v>45617</v>
      </c>
      <c r="S44" s="20">
        <v>42362</v>
      </c>
      <c r="T44" s="18">
        <v>240000</v>
      </c>
      <c r="U44" s="20">
        <v>42829</v>
      </c>
      <c r="V44" s="1"/>
    </row>
    <row r="45" spans="1:22" ht="24" customHeight="1">
      <c r="A45" s="1"/>
      <c r="B45" s="14" t="str">
        <f>HYPERLINK("https://www.compass.com/listing/108-26-164th-place-queens-ny-11433/1730502068516161633/view?agent_id=610d3f3370540700019b0833","108-26 164th Place")</f>
        <v>108-26 164th Place</v>
      </c>
      <c r="C45" s="15" t="s">
        <v>37</v>
      </c>
      <c r="D45" s="16" t="s">
        <v>23</v>
      </c>
      <c r="E45" s="17" t="str">
        <f>HYPERLINK("https://www.compass.com/building/108-26-164th-pl-queens-ny-11433/293417690926801381/","108-26 164th Pl")</f>
        <v>108-26 164th Pl</v>
      </c>
      <c r="F45" s="15" t="s">
        <v>24</v>
      </c>
      <c r="G45" s="18">
        <v>252000</v>
      </c>
      <c r="H45" s="18"/>
      <c r="I45" s="18">
        <v>75</v>
      </c>
      <c r="J45" s="18">
        <v>900</v>
      </c>
      <c r="K45" s="15" t="s">
        <v>38</v>
      </c>
      <c r="L45" s="16">
        <v>5</v>
      </c>
      <c r="M45" s="16">
        <v>2</v>
      </c>
      <c r="N45" s="16">
        <v>1</v>
      </c>
      <c r="O45" s="16"/>
      <c r="P45" s="16"/>
      <c r="Q45" s="19">
        <v>42</v>
      </c>
      <c r="R45" s="20">
        <v>45617</v>
      </c>
      <c r="S45" s="20">
        <v>41648</v>
      </c>
      <c r="T45" s="18">
        <v>252000</v>
      </c>
      <c r="U45" s="20">
        <v>41767</v>
      </c>
      <c r="V45" s="1"/>
    </row>
    <row r="46" spans="1:22" ht="24" customHeight="1">
      <c r="A46" s="1"/>
      <c r="B46" s="14" t="str">
        <f>HYPERLINK("https://www.compass.com/listing/107-31-156th-street-queens-ny-11433/1730508532270246441/view?agent_id=610d3f3370540700019b0833","107-31 156th Street")</f>
        <v>107-31 156th Street</v>
      </c>
      <c r="C46" s="15" t="s">
        <v>37</v>
      </c>
      <c r="D46" s="16" t="s">
        <v>23</v>
      </c>
      <c r="E46" s="17" t="str">
        <f>HYPERLINK("https://www.compass.com/building/107-31-156th-st-queens-ny-11433/293534937057941701/","107-31 156th St")</f>
        <v>107-31 156th St</v>
      </c>
      <c r="F46" s="15" t="s">
        <v>24</v>
      </c>
      <c r="G46" s="18">
        <v>150000</v>
      </c>
      <c r="H46" s="18"/>
      <c r="I46" s="18">
        <v>131</v>
      </c>
      <c r="J46" s="18">
        <v>1571</v>
      </c>
      <c r="K46" s="15" t="s">
        <v>38</v>
      </c>
      <c r="L46" s="16">
        <v>6</v>
      </c>
      <c r="M46" s="16">
        <v>2</v>
      </c>
      <c r="N46" s="16">
        <v>1</v>
      </c>
      <c r="O46" s="16"/>
      <c r="P46" s="16"/>
      <c r="Q46" s="19">
        <v>42</v>
      </c>
      <c r="R46" s="20">
        <v>45617</v>
      </c>
      <c r="S46" s="20">
        <v>41289</v>
      </c>
      <c r="T46" s="18">
        <v>150000</v>
      </c>
      <c r="U46" s="20">
        <v>41428</v>
      </c>
      <c r="V46" s="1"/>
    </row>
    <row r="47" spans="1:22" ht="24" customHeight="1">
      <c r="A47" s="1"/>
      <c r="B47" s="14" t="str">
        <f>HYPERLINK("https://www.compass.com/listing/173-52-103rd-road-queens-ny-11433/1730734132087840977/view?agent_id=610d3f3370540700019b0833","173-52 103rd Road")</f>
        <v>173-52 103rd Road</v>
      </c>
      <c r="C47" s="15" t="s">
        <v>37</v>
      </c>
      <c r="D47" s="16" t="s">
        <v>23</v>
      </c>
      <c r="E47" s="17" t="str">
        <f>HYPERLINK("https://www.compass.com/building/173-52-103rd-rd-queens-ny-11433/293529089585732597/","173-52 103rd Rd")</f>
        <v>173-52 103rd Rd</v>
      </c>
      <c r="F47" s="15" t="s">
        <v>24</v>
      </c>
      <c r="G47" s="18">
        <v>135000</v>
      </c>
      <c r="H47" s="18"/>
      <c r="I47" s="18">
        <v>208</v>
      </c>
      <c r="J47" s="18">
        <v>2500</v>
      </c>
      <c r="K47" s="15" t="s">
        <v>39</v>
      </c>
      <c r="L47" s="16">
        <v>5</v>
      </c>
      <c r="M47" s="16">
        <v>2</v>
      </c>
      <c r="N47" s="16">
        <v>1</v>
      </c>
      <c r="O47" s="16"/>
      <c r="P47" s="16"/>
      <c r="Q47" s="19">
        <v>122</v>
      </c>
      <c r="R47" s="20">
        <v>45597</v>
      </c>
      <c r="S47" s="20">
        <v>41169</v>
      </c>
      <c r="T47" s="18">
        <v>135000</v>
      </c>
      <c r="U47" s="20">
        <v>41298</v>
      </c>
      <c r="V47" s="1"/>
    </row>
    <row r="48" spans="1:22" ht="24" customHeight="1">
      <c r="A48" s="1"/>
      <c r="B48" s="14" t="str">
        <f>HYPERLINK("https://www.compass.com/listing/164-48-109th-avenue-queens-ny-11433/197763510619443137/view?agent_id=610d3f3370540700019b0833","164-48 109th Ave")</f>
        <v>164-48 109th Ave</v>
      </c>
      <c r="C48" s="15" t="s">
        <v>37</v>
      </c>
      <c r="D48" s="16" t="s">
        <v>23</v>
      </c>
      <c r="E48" s="17" t="str">
        <f>HYPERLINK("https://www.compass.com/building/164-48-109th-ave-queens-ny-11433/293532414989410469/","164-48 109th Ave")</f>
        <v>164-48 109th Ave</v>
      </c>
      <c r="F48" s="15" t="s">
        <v>24</v>
      </c>
      <c r="G48" s="18">
        <v>161500</v>
      </c>
      <c r="H48" s="18"/>
      <c r="I48" s="18">
        <v>178</v>
      </c>
      <c r="J48" s="18">
        <v>2135</v>
      </c>
      <c r="K48" s="15" t="s">
        <v>38</v>
      </c>
      <c r="L48" s="16"/>
      <c r="M48" s="16">
        <v>2</v>
      </c>
      <c r="N48" s="16">
        <v>1</v>
      </c>
      <c r="O48" s="16">
        <v>0</v>
      </c>
      <c r="P48" s="16"/>
      <c r="Q48" s="19">
        <v>89</v>
      </c>
      <c r="R48" s="20">
        <v>43100</v>
      </c>
      <c r="S48" s="20">
        <v>42690</v>
      </c>
      <c r="T48" s="18">
        <v>161500</v>
      </c>
      <c r="U48" s="20">
        <v>42779</v>
      </c>
      <c r="V48" s="1"/>
    </row>
    <row r="49" spans="1:22" ht="24" customHeight="1">
      <c r="A49" s="1"/>
      <c r="B49" s="14" t="str">
        <f>HYPERLINK("https://www.compass.com/listing/173-49-105th-avenue-queens-ny-11433/29131534321708529/view?agent_id=610d3f3370540700019b0833","173-49 105th Avenue")</f>
        <v>173-49 105th Avenue</v>
      </c>
      <c r="C49" s="15" t="s">
        <v>37</v>
      </c>
      <c r="D49" s="16" t="s">
        <v>23</v>
      </c>
      <c r="E49" s="17" t="str">
        <f>HYPERLINK("https://www.compass.com/building/173-49-105th-ave-queens-ny-11433/293531810053347061/","173-49 105th Ave")</f>
        <v>173-49 105th Ave</v>
      </c>
      <c r="F49" s="15" t="s">
        <v>24</v>
      </c>
      <c r="G49" s="18">
        <v>425000</v>
      </c>
      <c r="H49" s="18"/>
      <c r="I49" s="18">
        <v>249</v>
      </c>
      <c r="J49" s="18">
        <v>2984</v>
      </c>
      <c r="K49" s="15" t="s">
        <v>38</v>
      </c>
      <c r="L49" s="16">
        <v>7</v>
      </c>
      <c r="M49" s="16">
        <v>2</v>
      </c>
      <c r="N49" s="16">
        <v>1</v>
      </c>
      <c r="O49" s="16"/>
      <c r="P49" s="16"/>
      <c r="Q49" s="19">
        <v>167</v>
      </c>
      <c r="R49" s="20">
        <v>45626</v>
      </c>
      <c r="S49" s="20">
        <v>42865</v>
      </c>
      <c r="T49" s="18">
        <v>425000</v>
      </c>
      <c r="U49" s="20">
        <v>43105</v>
      </c>
      <c r="V49" s="1"/>
    </row>
    <row r="50" spans="1:22" ht="24" customHeight="1">
      <c r="A50" s="1"/>
      <c r="B50" s="14" t="str">
        <f>HYPERLINK("https://www.compass.com/listing/111-12-173rd-street-queens-ny-11433/1726954434613242977/view?agent_id=610d3f3370540700019b0833","111-12 173rd Street")</f>
        <v>111-12 173rd Street</v>
      </c>
      <c r="C50" s="15" t="s">
        <v>37</v>
      </c>
      <c r="D50" s="16" t="s">
        <v>23</v>
      </c>
      <c r="E50" s="17" t="str">
        <f>HYPERLINK("https://www.compass.com/building/111-12-173rd-st-queens-ny-11433/293418175939261861/","111-12 173rd St")</f>
        <v>111-12 173rd St</v>
      </c>
      <c r="F50" s="15" t="s">
        <v>24</v>
      </c>
      <c r="G50" s="18">
        <v>150000</v>
      </c>
      <c r="H50" s="18">
        <v>127</v>
      </c>
      <c r="I50" s="18">
        <v>257</v>
      </c>
      <c r="J50" s="18">
        <v>3088</v>
      </c>
      <c r="K50" s="15" t="s">
        <v>38</v>
      </c>
      <c r="L50" s="16">
        <v>5</v>
      </c>
      <c r="M50" s="16">
        <v>2</v>
      </c>
      <c r="N50" s="16">
        <v>1</v>
      </c>
      <c r="O50" s="16"/>
      <c r="P50" s="21">
        <v>1180</v>
      </c>
      <c r="Q50" s="19">
        <v>6</v>
      </c>
      <c r="R50" s="20">
        <v>45617</v>
      </c>
      <c r="S50" s="20">
        <v>42367</v>
      </c>
      <c r="T50" s="18">
        <v>150000</v>
      </c>
      <c r="U50" s="20">
        <v>42571</v>
      </c>
      <c r="V50" s="1"/>
    </row>
    <row r="51" spans="1:22" ht="24" customHeight="1">
      <c r="A51" s="1"/>
      <c r="B51" s="14" t="str">
        <f>HYPERLINK("https://www.compass.com/listing/107-30-guy-r-brewer-boulevard-unit-18a-queens-ny-11433/807381341726740857/view?agent_id=610d3f3370540700019b0833","107-30 Guy R Brewer Boulevard, Unit 18A")</f>
        <v>107-30 Guy R Brewer Boulevard, Unit 18A</v>
      </c>
      <c r="C51" s="15" t="s">
        <v>37</v>
      </c>
      <c r="D51" s="16" t="s">
        <v>23</v>
      </c>
      <c r="E51" s="17" t="str">
        <f>HYPERLINK("https://www.compass.com/building/107-30-guy-r-brewer-blvd-queens-ny-11433/567632778415910733/","107-30 Guy R Brewer Blvd")</f>
        <v>107-30 Guy R Brewer Blvd</v>
      </c>
      <c r="F51" s="15" t="s">
        <v>24</v>
      </c>
      <c r="G51" s="18">
        <v>298000</v>
      </c>
      <c r="H51" s="18">
        <v>367</v>
      </c>
      <c r="I51" s="18">
        <v>231</v>
      </c>
      <c r="J51" s="18">
        <v>2773</v>
      </c>
      <c r="K51" s="15" t="s">
        <v>40</v>
      </c>
      <c r="L51" s="16">
        <v>5</v>
      </c>
      <c r="M51" s="16">
        <v>2</v>
      </c>
      <c r="N51" s="16">
        <v>1</v>
      </c>
      <c r="O51" s="16"/>
      <c r="P51" s="16">
        <v>813</v>
      </c>
      <c r="Q51" s="19">
        <v>465</v>
      </c>
      <c r="R51" s="20">
        <v>45617</v>
      </c>
      <c r="S51" s="20">
        <v>44365</v>
      </c>
      <c r="T51" s="18">
        <v>298000</v>
      </c>
      <c r="U51" s="20">
        <v>44873</v>
      </c>
      <c r="V51" s="1"/>
    </row>
    <row r="52" spans="1:22" ht="24" customHeight="1">
      <c r="A52" s="1"/>
      <c r="B52" s="14" t="str">
        <f>HYPERLINK("https://www.compass.com/listing/103-21-177th-street-queens-ny-11433/1730800943080686641/view?agent_id=610d3f3370540700019b0833","103-21 177th Street")</f>
        <v>103-21 177th Street</v>
      </c>
      <c r="C52" s="15" t="s">
        <v>37</v>
      </c>
      <c r="D52" s="16" t="s">
        <v>23</v>
      </c>
      <c r="E52" s="17" t="str">
        <f>HYPERLINK("https://www.compass.com/building/103-21-177th-st-queens-ny-11433/293529426690350453/","103-21 177th St")</f>
        <v>103-21 177th St</v>
      </c>
      <c r="F52" s="15" t="s">
        <v>24</v>
      </c>
      <c r="G52" s="18">
        <v>210000</v>
      </c>
      <c r="H52" s="18"/>
      <c r="I52" s="18">
        <v>140</v>
      </c>
      <c r="J52" s="18">
        <v>1685</v>
      </c>
      <c r="K52" s="15" t="s">
        <v>39</v>
      </c>
      <c r="L52" s="16">
        <v>5</v>
      </c>
      <c r="M52" s="16">
        <v>2</v>
      </c>
      <c r="N52" s="16">
        <v>1</v>
      </c>
      <c r="O52" s="16"/>
      <c r="P52" s="16"/>
      <c r="Q52" s="19">
        <v>57</v>
      </c>
      <c r="R52" s="20">
        <v>45616</v>
      </c>
      <c r="S52" s="20">
        <v>42044</v>
      </c>
      <c r="T52" s="18">
        <v>210000</v>
      </c>
      <c r="U52" s="20">
        <v>42111</v>
      </c>
      <c r="V52" s="1"/>
    </row>
    <row r="53" spans="1:22" ht="24" customHeight="1">
      <c r="A53" s="1"/>
      <c r="B53" s="14" t="str">
        <f>HYPERLINK("https://www.compass.com/listing/174-20-brinkerhoff-avenue-queens-ny-11433/29131858046367921/view?agent_id=610d3f3370540700019b0833","174-20 Brinkerhoff Ave")</f>
        <v>174-20 Brinkerhoff Ave</v>
      </c>
      <c r="C53" s="15" t="s">
        <v>37</v>
      </c>
      <c r="D53" s="16" t="s">
        <v>23</v>
      </c>
      <c r="E53" s="17" t="str">
        <f>HYPERLINK("https://www.compass.com/building/174-20-brinkerhoff-ave-queens-ny-11433/293418099728732197/","174-20 Brinkerhoff Ave")</f>
        <v>174-20 Brinkerhoff Ave</v>
      </c>
      <c r="F53" s="15" t="s">
        <v>24</v>
      </c>
      <c r="G53" s="18">
        <v>100000</v>
      </c>
      <c r="H53" s="18">
        <v>83</v>
      </c>
      <c r="I53" s="18">
        <v>294</v>
      </c>
      <c r="J53" s="18">
        <v>3522</v>
      </c>
      <c r="K53" s="15" t="s">
        <v>30</v>
      </c>
      <c r="L53" s="16"/>
      <c r="M53" s="16">
        <v>2</v>
      </c>
      <c r="N53" s="16">
        <v>1</v>
      </c>
      <c r="O53" s="16"/>
      <c r="P53" s="21">
        <v>1200</v>
      </c>
      <c r="Q53" s="19"/>
      <c r="R53" s="20"/>
      <c r="S53" s="20"/>
      <c r="T53" s="18">
        <v>100000</v>
      </c>
      <c r="U53" s="20">
        <v>43160</v>
      </c>
      <c r="V53" s="1"/>
    </row>
    <row r="54" spans="1:22" ht="24" customHeight="1">
      <c r="A54" s="1"/>
      <c r="B54" s="14" t="str">
        <f>HYPERLINK("https://www.compass.com/listing/108-01-fern-place-queens-ny-11433/1730496113555955761/view?agent_id=610d3f3370540700019b0833","108-01 Fern Place")</f>
        <v>108-01 Fern Place</v>
      </c>
      <c r="C54" s="15" t="s">
        <v>37</v>
      </c>
      <c r="D54" s="16" t="s">
        <v>23</v>
      </c>
      <c r="E54" s="17" t="str">
        <f>HYPERLINK("https://www.compass.com/building/108-01-fern-pl-queens-ny-11433/293526215539566005/","108-01 Fern Pl")</f>
        <v>108-01 Fern Pl</v>
      </c>
      <c r="F54" s="15" t="s">
        <v>24</v>
      </c>
      <c r="G54" s="18">
        <v>430000</v>
      </c>
      <c r="H54" s="18">
        <v>439</v>
      </c>
      <c r="I54" s="18">
        <v>315</v>
      </c>
      <c r="J54" s="18">
        <v>3780</v>
      </c>
      <c r="K54" s="15" t="s">
        <v>38</v>
      </c>
      <c r="L54" s="16">
        <v>6</v>
      </c>
      <c r="M54" s="16">
        <v>2</v>
      </c>
      <c r="N54" s="16">
        <v>1</v>
      </c>
      <c r="O54" s="16"/>
      <c r="P54" s="16">
        <v>980</v>
      </c>
      <c r="Q54" s="19">
        <v>163</v>
      </c>
      <c r="R54" s="20">
        <v>45628</v>
      </c>
      <c r="S54" s="20">
        <v>43663</v>
      </c>
      <c r="T54" s="18">
        <v>430000</v>
      </c>
      <c r="U54" s="20">
        <v>43864</v>
      </c>
      <c r="V54" s="1"/>
    </row>
    <row r="55" spans="1:22" ht="24" customHeight="1">
      <c r="A55" s="1"/>
      <c r="B55" s="14" t="str">
        <f>HYPERLINK("https://www.compass.com/listing/107-14-watson-place-queens-ny-11433/1500746907384686217/view?agent_id=610d3f3370540700019b0833","107-14 Watson Pl")</f>
        <v>107-14 Watson Pl</v>
      </c>
      <c r="C55" s="15" t="s">
        <v>37</v>
      </c>
      <c r="D55" s="16" t="s">
        <v>23</v>
      </c>
      <c r="E55" s="17" t="str">
        <f>HYPERLINK("https://www.compass.com/building/107-14-watson-pl-queens-ny-11433/293533478413157973/","107-14 Watson Pl")</f>
        <v>107-14 Watson Pl</v>
      </c>
      <c r="F55" s="15" t="s">
        <v>24</v>
      </c>
      <c r="G55" s="18">
        <v>309270</v>
      </c>
      <c r="H55" s="18">
        <v>479</v>
      </c>
      <c r="I55" s="18">
        <v>349</v>
      </c>
      <c r="J55" s="18">
        <v>4189</v>
      </c>
      <c r="K55" s="15" t="s">
        <v>30</v>
      </c>
      <c r="L55" s="16"/>
      <c r="M55" s="16">
        <v>2</v>
      </c>
      <c r="N55" s="16">
        <v>1</v>
      </c>
      <c r="O55" s="16"/>
      <c r="P55" s="16">
        <v>646</v>
      </c>
      <c r="Q55" s="19"/>
      <c r="R55" s="20"/>
      <c r="S55" s="20"/>
      <c r="T55" s="18">
        <v>309270</v>
      </c>
      <c r="U55" s="20">
        <v>45301</v>
      </c>
      <c r="V55" s="1"/>
    </row>
    <row r="56" spans="1:22" ht="24" customHeight="1">
      <c r="A56" s="1"/>
      <c r="B56" s="14" t="str">
        <f>HYPERLINK("https://www.compass.com/listing/174-20-brinkerhoff-avenue-queens-ny-11433/1567390946401358745/view?agent_id=610d3f3370540700019b0833","174-20 Brinkerhoff Ave")</f>
        <v>174-20 Brinkerhoff Ave</v>
      </c>
      <c r="C56" s="15" t="s">
        <v>37</v>
      </c>
      <c r="D56" s="16" t="s">
        <v>23</v>
      </c>
      <c r="E56" s="17" t="str">
        <f>HYPERLINK("https://www.compass.com/building/174-20-brinkerhoff-ave-queens-ny-11433/293418099728732197/","174-20 Brinkerhoff Ave")</f>
        <v>174-20 Brinkerhoff Ave</v>
      </c>
      <c r="F56" s="15" t="s">
        <v>24</v>
      </c>
      <c r="G56" s="18">
        <v>270000</v>
      </c>
      <c r="H56" s="18">
        <v>338</v>
      </c>
      <c r="I56" s="18">
        <v>294</v>
      </c>
      <c r="J56" s="18">
        <v>3522</v>
      </c>
      <c r="K56" s="15" t="s">
        <v>30</v>
      </c>
      <c r="L56" s="16"/>
      <c r="M56" s="16">
        <v>2</v>
      </c>
      <c r="N56" s="16">
        <v>1</v>
      </c>
      <c r="O56" s="16"/>
      <c r="P56" s="16">
        <v>800</v>
      </c>
      <c r="Q56" s="19"/>
      <c r="R56" s="20"/>
      <c r="S56" s="20"/>
      <c r="T56" s="18">
        <v>270000</v>
      </c>
      <c r="U56" s="20">
        <v>45407</v>
      </c>
      <c r="V56" s="1"/>
    </row>
    <row r="57" spans="1:22" ht="24" customHeight="1">
      <c r="A57" s="1"/>
      <c r="B57" s="14" t="str">
        <f>HYPERLINK("https://www.compass.com/listing/150-34-113th-avenue-queens-ny-11433/29141247968964161/view?agent_id=610d3f3370540700019b0833","150-34 113th Ave")</f>
        <v>150-34 113th Ave</v>
      </c>
      <c r="C57" s="15" t="s">
        <v>37</v>
      </c>
      <c r="D57" s="16" t="s">
        <v>23</v>
      </c>
      <c r="E57" s="17" t="str">
        <f>HYPERLINK("https://www.compass.com/building/150-34-113th-ave-queens-ny-11433/293528617122609797/","150-34 113th Ave")</f>
        <v>150-34 113th Ave</v>
      </c>
      <c r="F57" s="15" t="s">
        <v>24</v>
      </c>
      <c r="G57" s="18">
        <v>325000</v>
      </c>
      <c r="H57" s="18">
        <v>224</v>
      </c>
      <c r="I57" s="18">
        <v>158</v>
      </c>
      <c r="J57" s="18">
        <v>1891</v>
      </c>
      <c r="K57" s="15" t="s">
        <v>30</v>
      </c>
      <c r="L57" s="16"/>
      <c r="M57" s="16">
        <v>2</v>
      </c>
      <c r="N57" s="16">
        <v>1</v>
      </c>
      <c r="O57" s="16"/>
      <c r="P57" s="21">
        <v>1450</v>
      </c>
      <c r="Q57" s="19"/>
      <c r="R57" s="20"/>
      <c r="S57" s="20"/>
      <c r="T57" s="18">
        <v>325000</v>
      </c>
      <c r="U57" s="20">
        <v>38393</v>
      </c>
      <c r="V57" s="1"/>
    </row>
    <row r="58" spans="1:22" ht="24" customHeight="1">
      <c r="A58" s="1"/>
      <c r="B58" s="14" t="str">
        <f>HYPERLINK("https://www.compass.com/listing/107-32-165th-street-queens-ny-11433/29131031458217297/view?agent_id=610d3f3370540700019b0833","107-32 165th Street")</f>
        <v>107-32 165th Street</v>
      </c>
      <c r="C58" s="15" t="s">
        <v>37</v>
      </c>
      <c r="D58" s="16" t="s">
        <v>23</v>
      </c>
      <c r="E58" s="17" t="str">
        <f>HYPERLINK("https://www.compass.com/building/107-32-165th-st-queens-ny-11433/293534505640176005/","107-32 165th St")</f>
        <v>107-32 165th St</v>
      </c>
      <c r="F58" s="15" t="s">
        <v>24</v>
      </c>
      <c r="G58" s="18">
        <v>180000</v>
      </c>
      <c r="H58" s="18"/>
      <c r="I58" s="18">
        <v>148</v>
      </c>
      <c r="J58" s="18">
        <v>1771</v>
      </c>
      <c r="K58" s="15" t="s">
        <v>38</v>
      </c>
      <c r="L58" s="16">
        <v>7</v>
      </c>
      <c r="M58" s="16">
        <v>2</v>
      </c>
      <c r="N58" s="16">
        <v>1</v>
      </c>
      <c r="O58" s="16"/>
      <c r="P58" s="16"/>
      <c r="Q58" s="19">
        <v>459</v>
      </c>
      <c r="R58" s="20">
        <v>45597</v>
      </c>
      <c r="S58" s="20">
        <v>41258</v>
      </c>
      <c r="T58" s="18">
        <v>180000</v>
      </c>
      <c r="U58" s="20">
        <v>41746</v>
      </c>
      <c r="V58" s="1"/>
    </row>
    <row r="59" spans="1:22" ht="24" customHeight="1">
      <c r="A59" s="1"/>
      <c r="B59" s="14" t="str">
        <f>HYPERLINK("https://www.compass.com/listing/153-31-111th-avenue-queens-ny-11433/29141142113095377/view?agent_id=610d3f3370540700019b0833","153-31 111th Avenue")</f>
        <v>153-31 111th Avenue</v>
      </c>
      <c r="C59" s="15" t="s">
        <v>37</v>
      </c>
      <c r="D59" s="16" t="s">
        <v>23</v>
      </c>
      <c r="E59" s="17" t="str">
        <f>HYPERLINK("https://www.compass.com/building/153-31-111th-ave-queens-ny-11433/293531864595970229/","153-31 111th Ave")</f>
        <v>153-31 111th Ave</v>
      </c>
      <c r="F59" s="15" t="s">
        <v>24</v>
      </c>
      <c r="G59" s="18">
        <v>263640</v>
      </c>
      <c r="H59" s="18"/>
      <c r="I59" s="18">
        <v>303</v>
      </c>
      <c r="J59" s="18">
        <v>3633</v>
      </c>
      <c r="K59" s="15" t="s">
        <v>39</v>
      </c>
      <c r="L59" s="16">
        <v>5</v>
      </c>
      <c r="M59" s="16">
        <v>2</v>
      </c>
      <c r="N59" s="16">
        <v>1</v>
      </c>
      <c r="O59" s="16">
        <v>0</v>
      </c>
      <c r="P59" s="16"/>
      <c r="Q59" s="19">
        <v>27</v>
      </c>
      <c r="R59" s="20">
        <v>45626</v>
      </c>
      <c r="S59" s="20">
        <v>42741</v>
      </c>
      <c r="T59" s="18">
        <v>263640</v>
      </c>
      <c r="U59" s="20">
        <v>42781</v>
      </c>
      <c r="V59" s="1"/>
    </row>
    <row r="60" spans="1:22" ht="24" customHeight="1">
      <c r="A60" s="1"/>
      <c r="B60" s="14" t="str">
        <f>HYPERLINK("https://www.compass.com/listing/107-03-guy-r-brewer-boulevard-queens-ny-11433/446594534835620265/view?agent_id=610d3f3370540700019b0833","107-03 Guy R Brewer Blvd")</f>
        <v>107-03 Guy R Brewer Blvd</v>
      </c>
      <c r="C60" s="15" t="s">
        <v>37</v>
      </c>
      <c r="D60" s="16" t="s">
        <v>23</v>
      </c>
      <c r="E60" s="17" t="str">
        <f>HYPERLINK("https://www.compass.com/building/107-03-guy-r-brewer-blvd-queens-ny-11433/293529531313115541/","107-03 Guy R Brewer Blvd")</f>
        <v>107-03 Guy R Brewer Blvd</v>
      </c>
      <c r="F60" s="15" t="s">
        <v>24</v>
      </c>
      <c r="G60" s="18"/>
      <c r="H60" s="18"/>
      <c r="I60" s="18">
        <v>0</v>
      </c>
      <c r="J60" s="18">
        <v>0</v>
      </c>
      <c r="K60" s="15"/>
      <c r="L60" s="16"/>
      <c r="M60" s="16">
        <v>2</v>
      </c>
      <c r="N60" s="16">
        <v>1</v>
      </c>
      <c r="O60" s="16">
        <v>0</v>
      </c>
      <c r="P60" s="16"/>
      <c r="Q60" s="19">
        <v>58</v>
      </c>
      <c r="R60" s="20">
        <v>44406</v>
      </c>
      <c r="S60" s="20">
        <v>43354</v>
      </c>
      <c r="T60" s="18"/>
      <c r="U60" s="20">
        <v>43412</v>
      </c>
      <c r="V60" s="1"/>
    </row>
    <row r="61" spans="1:22" ht="24" customHeight="1">
      <c r="A61" s="1"/>
      <c r="B61" s="14" t="str">
        <f>HYPERLINK("https://www.compass.com/listing/107-58-watson-place-queens-ny-11433/197757006596075665/view?agent_id=610d3f3370540700019b0833","107-58 Watson Place")</f>
        <v>107-58 Watson Place</v>
      </c>
      <c r="C61" s="15" t="s">
        <v>37</v>
      </c>
      <c r="D61" s="16" t="s">
        <v>23</v>
      </c>
      <c r="E61" s="17" t="str">
        <f>HYPERLINK("https://www.compass.com/building/107-58-watson-pl-queens-ny-11433/293530269183384005/","107-58 Watson Pl")</f>
        <v>107-58 Watson Pl</v>
      </c>
      <c r="F61" s="15" t="s">
        <v>24</v>
      </c>
      <c r="G61" s="18">
        <v>355000</v>
      </c>
      <c r="H61" s="18"/>
      <c r="I61" s="18">
        <v>215</v>
      </c>
      <c r="J61" s="18">
        <v>2583</v>
      </c>
      <c r="K61" s="15" t="s">
        <v>38</v>
      </c>
      <c r="L61" s="16">
        <v>5</v>
      </c>
      <c r="M61" s="16">
        <v>2</v>
      </c>
      <c r="N61" s="16">
        <v>1</v>
      </c>
      <c r="O61" s="16">
        <v>0</v>
      </c>
      <c r="P61" s="16"/>
      <c r="Q61" s="19">
        <v>61</v>
      </c>
      <c r="R61" s="20">
        <v>45617</v>
      </c>
      <c r="S61" s="20">
        <v>42614</v>
      </c>
      <c r="T61" s="18">
        <v>355000</v>
      </c>
      <c r="U61" s="20">
        <v>42684</v>
      </c>
      <c r="V61" s="1"/>
    </row>
    <row r="62" spans="1:22" ht="24" customHeight="1">
      <c r="A62" s="1"/>
      <c r="B62" s="14" t="str">
        <f>HYPERLINK("https://www.compass.com/listing/174-14-brinkerhoff-avenue-queens-ny-11433/197762006005136353/view?agent_id=610d3f3370540700019b0833","174-14 Brinkerhoff Ave")</f>
        <v>174-14 Brinkerhoff Ave</v>
      </c>
      <c r="C62" s="15" t="s">
        <v>37</v>
      </c>
      <c r="D62" s="16" t="s">
        <v>23</v>
      </c>
      <c r="E62" s="17" t="str">
        <f>HYPERLINK("https://www.compass.com/building/174-14-brinkerhoff-ave-queens-ny-11433/293526893708217493/","174-14 Brinkerhoff Ave")</f>
        <v>174-14 Brinkerhoff Ave</v>
      </c>
      <c r="F62" s="15" t="s">
        <v>24</v>
      </c>
      <c r="G62" s="18">
        <v>349000</v>
      </c>
      <c r="H62" s="18"/>
      <c r="I62" s="18">
        <v>290</v>
      </c>
      <c r="J62" s="18">
        <v>3476</v>
      </c>
      <c r="K62" s="15" t="s">
        <v>38</v>
      </c>
      <c r="L62" s="16"/>
      <c r="M62" s="16">
        <v>2</v>
      </c>
      <c r="N62" s="16">
        <v>1</v>
      </c>
      <c r="O62" s="16">
        <v>0</v>
      </c>
      <c r="P62" s="16"/>
      <c r="Q62" s="19">
        <v>12</v>
      </c>
      <c r="R62" s="20">
        <v>44406</v>
      </c>
      <c r="S62" s="20">
        <v>42917</v>
      </c>
      <c r="T62" s="18">
        <v>349000</v>
      </c>
      <c r="U62" s="20">
        <v>42997</v>
      </c>
      <c r="V62" s="1"/>
    </row>
    <row r="63" spans="1:22" ht="24" customHeight="1">
      <c r="A63" s="1"/>
      <c r="B63" s="14" t="str">
        <f>HYPERLINK("https://www.compass.com/listing/108-34-169th-place-queens-ny-11433/29131114245369249/view?agent_id=610d3f3370540700019b0833","108-34 169th Place")</f>
        <v>108-34 169th Place</v>
      </c>
      <c r="C63" s="15" t="s">
        <v>37</v>
      </c>
      <c r="D63" s="16" t="s">
        <v>23</v>
      </c>
      <c r="E63" s="17" t="str">
        <f>HYPERLINK("https://www.compass.com/building/108-34-169th-pl-queens-ny-11433/293526225463293557/","108-34 169th Pl")</f>
        <v>108-34 169th Pl</v>
      </c>
      <c r="F63" s="15" t="s">
        <v>24</v>
      </c>
      <c r="G63" s="18">
        <v>200000</v>
      </c>
      <c r="H63" s="18">
        <v>213</v>
      </c>
      <c r="I63" s="18">
        <v>153</v>
      </c>
      <c r="J63" s="18">
        <v>1840</v>
      </c>
      <c r="K63" s="15" t="s">
        <v>38</v>
      </c>
      <c r="L63" s="16">
        <v>5</v>
      </c>
      <c r="M63" s="16">
        <v>2</v>
      </c>
      <c r="N63" s="16">
        <v>1</v>
      </c>
      <c r="O63" s="16">
        <v>0</v>
      </c>
      <c r="P63" s="16">
        <v>938</v>
      </c>
      <c r="Q63" s="19">
        <v>34</v>
      </c>
      <c r="R63" s="20">
        <v>45617</v>
      </c>
      <c r="S63" s="20">
        <v>42600</v>
      </c>
      <c r="T63" s="18">
        <v>200000</v>
      </c>
      <c r="U63" s="20">
        <v>42723</v>
      </c>
      <c r="V63" s="1"/>
    </row>
    <row r="64" spans="1:22" ht="24" customHeight="1">
      <c r="A64" s="1"/>
      <c r="B64" s="14" t="str">
        <f>HYPERLINK("https://www.compass.com/listing/110-38-177th-street-queens-ny-11433/29131874051828945/view?agent_id=610d3f3370540700019b0833","110-38 177th Street")</f>
        <v>110-38 177th Street</v>
      </c>
      <c r="C64" s="15" t="s">
        <v>37</v>
      </c>
      <c r="D64" s="16" t="s">
        <v>23</v>
      </c>
      <c r="E64" s="17" t="str">
        <f>HYPERLINK("https://www.compass.com/building/110-38-177th-st-queens-ny-11433/293526994421884453/","110-38 177th St")</f>
        <v>110-38 177th St</v>
      </c>
      <c r="F64" s="15" t="s">
        <v>24</v>
      </c>
      <c r="G64" s="18">
        <v>300000</v>
      </c>
      <c r="H64" s="18"/>
      <c r="I64" s="18">
        <v>295</v>
      </c>
      <c r="J64" s="18">
        <v>3536</v>
      </c>
      <c r="K64" s="15" t="s">
        <v>38</v>
      </c>
      <c r="L64" s="16">
        <v>5</v>
      </c>
      <c r="M64" s="16">
        <v>2</v>
      </c>
      <c r="N64" s="16">
        <v>1</v>
      </c>
      <c r="O64" s="16"/>
      <c r="P64" s="16"/>
      <c r="Q64" s="19">
        <v>21</v>
      </c>
      <c r="R64" s="20">
        <v>45617</v>
      </c>
      <c r="S64" s="20">
        <v>42898</v>
      </c>
      <c r="T64" s="18">
        <v>300000</v>
      </c>
      <c r="U64" s="20">
        <v>42944</v>
      </c>
      <c r="V64" s="1"/>
    </row>
    <row r="65" spans="1:22" ht="24" customHeight="1">
      <c r="A65" s="1"/>
      <c r="B65" s="14" t="str">
        <f>HYPERLINK("https://www.compass.com/listing/164-46-nadal-place-queens-ny-11433/480924946084958793/view?agent_id=610d3f3370540700019b0833","164-46 Nadal Place")</f>
        <v>164-46 Nadal Place</v>
      </c>
      <c r="C65" s="15" t="s">
        <v>37</v>
      </c>
      <c r="D65" s="16" t="s">
        <v>23</v>
      </c>
      <c r="E65" s="17" t="str">
        <f>HYPERLINK("https://www.compass.com/building/164-46-nadal-pl-queens-ny-11433/293528788787029093/","164-46 Nadal Pl")</f>
        <v>164-46 Nadal Pl</v>
      </c>
      <c r="F65" s="15" t="s">
        <v>24</v>
      </c>
      <c r="G65" s="18">
        <v>290000</v>
      </c>
      <c r="H65" s="18"/>
      <c r="I65" s="18">
        <v>350</v>
      </c>
      <c r="J65" s="18">
        <v>4200</v>
      </c>
      <c r="K65" s="15" t="s">
        <v>38</v>
      </c>
      <c r="L65" s="16">
        <v>7</v>
      </c>
      <c r="M65" s="16">
        <v>2</v>
      </c>
      <c r="N65" s="16">
        <v>1</v>
      </c>
      <c r="O65" s="16"/>
      <c r="P65" s="16"/>
      <c r="Q65" s="19">
        <v>233</v>
      </c>
      <c r="R65" s="20">
        <v>45597</v>
      </c>
      <c r="S65" s="20">
        <v>43413</v>
      </c>
      <c r="T65" s="18">
        <v>290000</v>
      </c>
      <c r="U65" s="20">
        <v>43647</v>
      </c>
      <c r="V65" s="1"/>
    </row>
    <row r="66" spans="1:22" ht="24" customHeight="1">
      <c r="A66" s="1"/>
      <c r="B66" s="14" t="str">
        <f>HYPERLINK("https://www.compass.com/listing/108-19-fern-place-queens-ny-11433/1730505098820589169/view?agent_id=610d3f3370540700019b0833","108-19 Fern Place")</f>
        <v>108-19 Fern Place</v>
      </c>
      <c r="C66" s="15" t="s">
        <v>37</v>
      </c>
      <c r="D66" s="16" t="s">
        <v>23</v>
      </c>
      <c r="E66" s="16" t="s">
        <v>41</v>
      </c>
      <c r="F66" s="15" t="s">
        <v>24</v>
      </c>
      <c r="G66" s="18">
        <v>147030</v>
      </c>
      <c r="H66" s="18"/>
      <c r="I66" s="18">
        <v>163</v>
      </c>
      <c r="J66" s="18">
        <v>1954</v>
      </c>
      <c r="K66" s="15" t="s">
        <v>38</v>
      </c>
      <c r="L66" s="16">
        <v>5</v>
      </c>
      <c r="M66" s="16">
        <v>2</v>
      </c>
      <c r="N66" s="16">
        <v>1</v>
      </c>
      <c r="O66" s="16"/>
      <c r="P66" s="16"/>
      <c r="Q66" s="19">
        <v>382</v>
      </c>
      <c r="R66" s="20">
        <v>45617</v>
      </c>
      <c r="S66" s="20">
        <v>40573</v>
      </c>
      <c r="T66" s="18">
        <v>147030</v>
      </c>
      <c r="U66" s="20">
        <v>40967</v>
      </c>
      <c r="V66" s="1"/>
    </row>
    <row r="67" spans="1:22" ht="24" customHeight="1">
      <c r="A67" s="1"/>
      <c r="B67" s="14" t="str">
        <f>HYPERLINK("https://www.compass.com/listing/110-25-173rd-street-queens-ny-11433/1428238347694424881/view?agent_id=610d3f3370540700019b0833","110-25 173rd Street")</f>
        <v>110-25 173rd Street</v>
      </c>
      <c r="C67" s="15" t="s">
        <v>37</v>
      </c>
      <c r="D67" s="16" t="s">
        <v>23</v>
      </c>
      <c r="E67" s="17" t="str">
        <f>HYPERLINK("https://www.compass.com/building/110-25-173rd-st-queens-ny-11433/293528187097344821/","110-25 173rd St")</f>
        <v>110-25 173rd St</v>
      </c>
      <c r="F67" s="15" t="s">
        <v>24</v>
      </c>
      <c r="G67" s="18">
        <v>425000</v>
      </c>
      <c r="H67" s="18"/>
      <c r="I67" s="18">
        <v>389</v>
      </c>
      <c r="J67" s="18">
        <v>4665</v>
      </c>
      <c r="K67" s="15" t="s">
        <v>38</v>
      </c>
      <c r="L67" s="16">
        <v>5</v>
      </c>
      <c r="M67" s="16">
        <v>2</v>
      </c>
      <c r="N67" s="16">
        <v>1</v>
      </c>
      <c r="O67" s="16"/>
      <c r="P67" s="16"/>
      <c r="Q67" s="19">
        <v>9</v>
      </c>
      <c r="R67" s="20">
        <v>45617</v>
      </c>
      <c r="S67" s="20">
        <v>45221</v>
      </c>
      <c r="T67" s="18">
        <v>425000</v>
      </c>
      <c r="U67" s="20">
        <v>45379</v>
      </c>
      <c r="V67" s="1"/>
    </row>
    <row r="68" spans="1:22" ht="24" customHeight="1">
      <c r="A68" s="1"/>
      <c r="B68" s="14" t="str">
        <f>HYPERLINK("https://www.compass.com/listing/111-17-157th-street-queens-ny-11433/29141328205984817/view?agent_id=610d3f3370540700019b0833","111-17 157th Street")</f>
        <v>111-17 157th Street</v>
      </c>
      <c r="C68" s="15" t="s">
        <v>37</v>
      </c>
      <c r="D68" s="16" t="s">
        <v>23</v>
      </c>
      <c r="E68" s="17" t="str">
        <f>HYPERLINK("https://www.compass.com/building/111-17-157th-st-queens-ny-11433/293535001541199173/","111-17 157th St")</f>
        <v>111-17 157th St</v>
      </c>
      <c r="F68" s="15" t="s">
        <v>24</v>
      </c>
      <c r="G68" s="18">
        <v>150000</v>
      </c>
      <c r="H68" s="18">
        <v>123</v>
      </c>
      <c r="I68" s="18">
        <v>229</v>
      </c>
      <c r="J68" s="18">
        <v>2751</v>
      </c>
      <c r="K68" s="15" t="s">
        <v>38</v>
      </c>
      <c r="L68" s="16">
        <v>6</v>
      </c>
      <c r="M68" s="16">
        <v>2</v>
      </c>
      <c r="N68" s="16">
        <v>1</v>
      </c>
      <c r="O68" s="16"/>
      <c r="P68" s="21">
        <v>1216</v>
      </c>
      <c r="Q68" s="19">
        <v>192</v>
      </c>
      <c r="R68" s="20">
        <v>45617</v>
      </c>
      <c r="S68" s="20">
        <v>42497</v>
      </c>
      <c r="T68" s="18">
        <v>150000</v>
      </c>
      <c r="U68" s="20">
        <v>42900</v>
      </c>
      <c r="V68" s="1"/>
    </row>
    <row r="69" spans="1:22" ht="24" customHeight="1">
      <c r="A69" s="1"/>
      <c r="B69" s="14" t="str">
        <f>HYPERLINK("https://www.compass.com/listing/109-38-174th-street-queens-ny-11433/197774716340078017/view?agent_id=610d3f3370540700019b0833","109-38 174th Street")</f>
        <v>109-38 174th Street</v>
      </c>
      <c r="C69" s="15" t="s">
        <v>37</v>
      </c>
      <c r="D69" s="16" t="s">
        <v>23</v>
      </c>
      <c r="E69" s="17" t="str">
        <f>HYPERLINK("https://www.compass.com/building/109-38-174th-st-queens-ny-11433/293526789303688949/","109-38 174th St")</f>
        <v>109-38 174th St</v>
      </c>
      <c r="F69" s="15" t="s">
        <v>24</v>
      </c>
      <c r="G69" s="18">
        <v>349700</v>
      </c>
      <c r="H69" s="18"/>
      <c r="I69" s="18">
        <v>290</v>
      </c>
      <c r="J69" s="18">
        <v>3482</v>
      </c>
      <c r="K69" s="15" t="s">
        <v>38</v>
      </c>
      <c r="L69" s="16">
        <v>6</v>
      </c>
      <c r="M69" s="16">
        <v>2</v>
      </c>
      <c r="N69" s="16">
        <v>1</v>
      </c>
      <c r="O69" s="16"/>
      <c r="P69" s="16"/>
      <c r="Q69" s="19">
        <v>60</v>
      </c>
      <c r="R69" s="20">
        <v>45597</v>
      </c>
      <c r="S69" s="20">
        <v>43279</v>
      </c>
      <c r="T69" s="18">
        <v>349700</v>
      </c>
      <c r="U69" s="20">
        <v>43545</v>
      </c>
      <c r="V69" s="1"/>
    </row>
    <row r="70" spans="1:22" ht="24" customHeight="1">
      <c r="A70" s="1"/>
      <c r="B70" s="14" t="str">
        <f>HYPERLINK("https://www.compass.com/listing/110-26-169th-street-queens-ny-11433/1730619106236295137/view?agent_id=610d3f3370540700019b0833","110-26 169th Street")</f>
        <v>110-26 169th Street</v>
      </c>
      <c r="C70" s="15" t="s">
        <v>37</v>
      </c>
      <c r="D70" s="16" t="s">
        <v>23</v>
      </c>
      <c r="E70" s="17" t="str">
        <f>HYPERLINK("https://www.compass.com/building/110-26-169th-st-queens-ny-11433/293535208379062149/","110-26 169th St")</f>
        <v>110-26 169th St</v>
      </c>
      <c r="F70" s="15" t="s">
        <v>24</v>
      </c>
      <c r="G70" s="18">
        <v>130000</v>
      </c>
      <c r="H70" s="18"/>
      <c r="I70" s="18">
        <v>50</v>
      </c>
      <c r="J70" s="18">
        <v>600</v>
      </c>
      <c r="K70" s="15" t="s">
        <v>38</v>
      </c>
      <c r="L70" s="16">
        <v>5</v>
      </c>
      <c r="M70" s="16">
        <v>2</v>
      </c>
      <c r="N70" s="16">
        <v>1</v>
      </c>
      <c r="O70" s="16"/>
      <c r="P70" s="16"/>
      <c r="Q70" s="19">
        <v>50</v>
      </c>
      <c r="R70" s="20">
        <v>45617</v>
      </c>
      <c r="S70" s="20">
        <v>41925</v>
      </c>
      <c r="T70" s="18">
        <v>130000</v>
      </c>
      <c r="U70" s="20">
        <v>42090</v>
      </c>
      <c r="V70" s="1"/>
    </row>
    <row r="71" spans="1:22" ht="24" customHeight="1">
      <c r="A71" s="1"/>
      <c r="B71" s="14" t="str">
        <f>HYPERLINK("https://www.compass.com/listing/111-26-167th-street-queens-ny-11433/1730803170197718233/view?agent_id=610d3f3370540700019b0833","111-26 167th Street")</f>
        <v>111-26 167th Street</v>
      </c>
      <c r="C71" s="15" t="s">
        <v>37</v>
      </c>
      <c r="D71" s="16" t="s">
        <v>23</v>
      </c>
      <c r="E71" s="17" t="str">
        <f>HYPERLINK("https://www.compass.com/building/111-26-167th-st-queens-ny-11433/293526341846888757/","111-26 167th St")</f>
        <v>111-26 167th St</v>
      </c>
      <c r="F71" s="15" t="s">
        <v>24</v>
      </c>
      <c r="G71" s="18">
        <v>170000</v>
      </c>
      <c r="H71" s="18">
        <v>63</v>
      </c>
      <c r="I71" s="18">
        <v>115</v>
      </c>
      <c r="J71" s="18">
        <v>1380</v>
      </c>
      <c r="K71" s="15" t="s">
        <v>38</v>
      </c>
      <c r="L71" s="16">
        <v>5</v>
      </c>
      <c r="M71" s="16">
        <v>2</v>
      </c>
      <c r="N71" s="16">
        <v>1</v>
      </c>
      <c r="O71" s="16"/>
      <c r="P71" s="21">
        <v>2700</v>
      </c>
      <c r="Q71" s="19">
        <v>342</v>
      </c>
      <c r="R71" s="20">
        <v>45617</v>
      </c>
      <c r="S71" s="20">
        <v>41366</v>
      </c>
      <c r="T71" s="18">
        <v>170000</v>
      </c>
      <c r="U71" s="20">
        <v>41901</v>
      </c>
      <c r="V71" s="1"/>
    </row>
    <row r="72" spans="1:22" ht="24" customHeight="1">
      <c r="A72" s="1"/>
      <c r="B72" s="14" t="str">
        <f>HYPERLINK("https://www.compass.com/listing/173-42-105th-avenue-queens-ny-11433/29131539807862001/view?agent_id=610d3f3370540700019b0833","173-42 105th Avenue")</f>
        <v>173-42 105th Avenue</v>
      </c>
      <c r="C72" s="15" t="s">
        <v>37</v>
      </c>
      <c r="D72" s="16" t="s">
        <v>23</v>
      </c>
      <c r="E72" s="17" t="str">
        <f>HYPERLINK("https://www.compass.com/building/173-42-105th-ave-queens-ny-11433/293533850406000469/","173-42 105th Ave")</f>
        <v>173-42 105th Ave</v>
      </c>
      <c r="F72" s="15" t="s">
        <v>24</v>
      </c>
      <c r="G72" s="18">
        <v>137750</v>
      </c>
      <c r="H72" s="18">
        <v>141</v>
      </c>
      <c r="I72" s="18">
        <v>56</v>
      </c>
      <c r="J72" s="18">
        <v>673</v>
      </c>
      <c r="K72" s="15" t="s">
        <v>38</v>
      </c>
      <c r="L72" s="16">
        <v>6</v>
      </c>
      <c r="M72" s="16">
        <v>2</v>
      </c>
      <c r="N72" s="16">
        <v>1</v>
      </c>
      <c r="O72" s="16">
        <v>0</v>
      </c>
      <c r="P72" s="16">
        <v>974</v>
      </c>
      <c r="Q72" s="19">
        <v>247</v>
      </c>
      <c r="R72" s="20">
        <v>45616</v>
      </c>
      <c r="S72" s="20">
        <v>42209</v>
      </c>
      <c r="T72" s="18">
        <v>137750</v>
      </c>
      <c r="U72" s="20">
        <v>42467</v>
      </c>
      <c r="V72" s="1"/>
    </row>
    <row r="73" spans="1:22" ht="24" customHeight="1">
      <c r="A73" s="1"/>
      <c r="B73" s="14" t="str">
        <f>HYPERLINK("https://www.compass.com/listing/166-03-nadal-place-queens-ny-11433/1730512739886526337/view?agent_id=610d3f3370540700019b0833","166-03 Nadal Place")</f>
        <v>166-03 Nadal Place</v>
      </c>
      <c r="C73" s="15" t="s">
        <v>37</v>
      </c>
      <c r="D73" s="16" t="s">
        <v>23</v>
      </c>
      <c r="E73" s="17" t="str">
        <f>HYPERLINK("https://www.compass.com/building/166-03-nadal-pl-queens-ny-11433/293527041389720725/","166-03 Nadal Pl")</f>
        <v>166-03 Nadal Pl</v>
      </c>
      <c r="F73" s="15" t="s">
        <v>24</v>
      </c>
      <c r="G73" s="18">
        <v>305000</v>
      </c>
      <c r="H73" s="18"/>
      <c r="I73" s="18">
        <v>101</v>
      </c>
      <c r="J73" s="18">
        <v>1207</v>
      </c>
      <c r="K73" s="15" t="s">
        <v>38</v>
      </c>
      <c r="L73" s="16">
        <v>4</v>
      </c>
      <c r="M73" s="16">
        <v>2</v>
      </c>
      <c r="N73" s="16">
        <v>1</v>
      </c>
      <c r="O73" s="16"/>
      <c r="P73" s="16"/>
      <c r="Q73" s="19">
        <v>155</v>
      </c>
      <c r="R73" s="20">
        <v>45597</v>
      </c>
      <c r="S73" s="20">
        <v>41151</v>
      </c>
      <c r="T73" s="18">
        <v>305000</v>
      </c>
      <c r="U73" s="20">
        <v>41318</v>
      </c>
      <c r="V73" s="1"/>
    </row>
    <row r="74" spans="1:22" ht="24" customHeight="1">
      <c r="A74" s="1"/>
      <c r="B74" s="14" t="str">
        <f>HYPERLINK("https://www.compass.com/listing/111-53-166th-street-queens-ny-11433/1730522010070527417/view?agent_id=610d3f3370540700019b0833","111-53 166th Street")</f>
        <v>111-53 166th Street</v>
      </c>
      <c r="C74" s="15" t="s">
        <v>37</v>
      </c>
      <c r="D74" s="16" t="s">
        <v>23</v>
      </c>
      <c r="E74" s="17" t="str">
        <f>HYPERLINK("https://www.compass.com/building/111-53-166th-st-queens-ny-11433/293529813749148773/","111-53 166th St")</f>
        <v>111-53 166th St</v>
      </c>
      <c r="F74" s="15" t="s">
        <v>24</v>
      </c>
      <c r="G74" s="18">
        <v>248000</v>
      </c>
      <c r="H74" s="18"/>
      <c r="I74" s="18">
        <v>167</v>
      </c>
      <c r="J74" s="18">
        <v>2000</v>
      </c>
      <c r="K74" s="15" t="s">
        <v>38</v>
      </c>
      <c r="L74" s="16">
        <v>4</v>
      </c>
      <c r="M74" s="16">
        <v>2</v>
      </c>
      <c r="N74" s="16">
        <v>1</v>
      </c>
      <c r="O74" s="16"/>
      <c r="P74" s="16"/>
      <c r="Q74" s="19">
        <v>37</v>
      </c>
      <c r="R74" s="20">
        <v>45616</v>
      </c>
      <c r="S74" s="20">
        <v>42074</v>
      </c>
      <c r="T74" s="18">
        <v>248000</v>
      </c>
      <c r="U74" s="20">
        <v>42213</v>
      </c>
      <c r="V74" s="1"/>
    </row>
    <row r="75" spans="1:22" ht="24" customHeight="1">
      <c r="A75" s="1"/>
      <c r="B75" s="14" t="str">
        <f>HYPERLINK("https://www.compass.com/listing/110-21-174th-street-queens-ny-11433/1730625862001864913/view?agent_id=610d3f3370540700019b0833","110-21 174th Street")</f>
        <v>110-21 174th Street</v>
      </c>
      <c r="C75" s="15" t="s">
        <v>37</v>
      </c>
      <c r="D75" s="16" t="s">
        <v>23</v>
      </c>
      <c r="E75" s="17" t="str">
        <f>HYPERLINK("https://www.compass.com/building/110-21-174th-st-queens-ny-11433/293526584478957637/","110-21 174th St")</f>
        <v>110-21 174th St</v>
      </c>
      <c r="F75" s="15" t="s">
        <v>24</v>
      </c>
      <c r="G75" s="18">
        <v>265000</v>
      </c>
      <c r="H75" s="18">
        <v>152</v>
      </c>
      <c r="I75" s="18">
        <v>261</v>
      </c>
      <c r="J75" s="18">
        <v>3136</v>
      </c>
      <c r="K75" s="15" t="s">
        <v>38</v>
      </c>
      <c r="L75" s="16">
        <v>5</v>
      </c>
      <c r="M75" s="16">
        <v>2</v>
      </c>
      <c r="N75" s="16">
        <v>1</v>
      </c>
      <c r="O75" s="16"/>
      <c r="P75" s="21">
        <v>1746</v>
      </c>
      <c r="Q75" s="19">
        <v>339</v>
      </c>
      <c r="R75" s="20">
        <v>45597</v>
      </c>
      <c r="S75" s="20">
        <v>42807</v>
      </c>
      <c r="T75" s="18">
        <v>265000</v>
      </c>
      <c r="U75" s="20">
        <v>43146</v>
      </c>
      <c r="V75" s="1"/>
    </row>
    <row r="76" spans="1:22" ht="24" customHeight="1">
      <c r="A76" s="1"/>
      <c r="B76" s="14" t="str">
        <f>HYPERLINK("https://www.compass.com/listing/164-46-nadal-place-queens-ny-11433/1730764763064965873/view?agent_id=610d3f3370540700019b0833","164-46 Nadal Place")</f>
        <v>164-46 Nadal Place</v>
      </c>
      <c r="C76" s="15" t="s">
        <v>37</v>
      </c>
      <c r="D76" s="16" t="s">
        <v>23</v>
      </c>
      <c r="E76" s="17" t="str">
        <f>HYPERLINK("https://www.compass.com/building/164-46-nadal-pl-queens-ny-11433/293528788787029093/","164-46 Nadal Pl")</f>
        <v>164-46 Nadal Pl</v>
      </c>
      <c r="F76" s="15" t="s">
        <v>24</v>
      </c>
      <c r="G76" s="18">
        <v>290000</v>
      </c>
      <c r="H76" s="18"/>
      <c r="I76" s="18">
        <v>190</v>
      </c>
      <c r="J76" s="18">
        <v>2274</v>
      </c>
      <c r="K76" s="15" t="s">
        <v>38</v>
      </c>
      <c r="L76" s="16">
        <v>4</v>
      </c>
      <c r="M76" s="16">
        <v>2</v>
      </c>
      <c r="N76" s="16">
        <v>1</v>
      </c>
      <c r="O76" s="16"/>
      <c r="P76" s="16"/>
      <c r="Q76" s="19">
        <v>87</v>
      </c>
      <c r="R76" s="20">
        <v>45617</v>
      </c>
      <c r="S76" s="20">
        <v>43524</v>
      </c>
      <c r="T76" s="18">
        <v>290000</v>
      </c>
      <c r="U76" s="20">
        <v>43647</v>
      </c>
      <c r="V76" s="1"/>
    </row>
    <row r="77" spans="1:22" ht="24" customHeight="1">
      <c r="A77" s="1"/>
      <c r="B77" s="14" t="str">
        <f>HYPERLINK("https://www.compass.com/listing/107-32-165th-street-queens-ny-11433/1872073703201997753/view?agent_id=610d3f3370540700019b0833","107-32 165th Street")</f>
        <v>107-32 165th Street</v>
      </c>
      <c r="C77" s="15" t="s">
        <v>37</v>
      </c>
      <c r="D77" s="16" t="s">
        <v>23</v>
      </c>
      <c r="E77" s="17" t="str">
        <f>HYPERLINK("https://www.compass.com/building/107-32-165th-st-queens-ny-11433/293534505640176005/","107-32 165th St")</f>
        <v>107-32 165th St</v>
      </c>
      <c r="F77" s="15" t="s">
        <v>24</v>
      </c>
      <c r="G77" s="18">
        <v>180000</v>
      </c>
      <c r="H77" s="18"/>
      <c r="I77" s="18">
        <v>152</v>
      </c>
      <c r="J77" s="18">
        <v>1829</v>
      </c>
      <c r="K77" s="15" t="s">
        <v>38</v>
      </c>
      <c r="L77" s="16">
        <v>7</v>
      </c>
      <c r="M77" s="16">
        <v>2</v>
      </c>
      <c r="N77" s="16">
        <v>1</v>
      </c>
      <c r="O77" s="16"/>
      <c r="P77" s="16"/>
      <c r="Q77" s="19">
        <v>52</v>
      </c>
      <c r="R77" s="20">
        <v>45597</v>
      </c>
      <c r="S77" s="20">
        <v>41665</v>
      </c>
      <c r="T77" s="18">
        <v>180000</v>
      </c>
      <c r="U77" s="20">
        <v>41746</v>
      </c>
      <c r="V77" s="1"/>
    </row>
    <row r="78" spans="1:22" ht="24" customHeight="1">
      <c r="A78" s="1"/>
      <c r="B78" s="14" t="str">
        <f>HYPERLINK("https://www.compass.com/listing/166-03-nadal-place-queens-ny-11433/197754865898874465/view?agent_id=610d3f3370540700019b0833","166-03 Nadal Place")</f>
        <v>166-03 Nadal Place</v>
      </c>
      <c r="C78" s="15" t="s">
        <v>37</v>
      </c>
      <c r="D78" s="16" t="s">
        <v>23</v>
      </c>
      <c r="E78" s="17" t="str">
        <f>HYPERLINK("https://www.compass.com/building/166-03-nadal-pl-queens-ny-11433/293527041389720725/","166-03 Nadal Pl")</f>
        <v>166-03 Nadal Pl</v>
      </c>
      <c r="F78" s="15" t="s">
        <v>24</v>
      </c>
      <c r="G78" s="18">
        <v>221032</v>
      </c>
      <c r="H78" s="18">
        <v>287</v>
      </c>
      <c r="I78" s="18">
        <v>128</v>
      </c>
      <c r="J78" s="18">
        <v>1530</v>
      </c>
      <c r="K78" s="15" t="s">
        <v>38</v>
      </c>
      <c r="L78" s="16">
        <v>5</v>
      </c>
      <c r="M78" s="16">
        <v>2</v>
      </c>
      <c r="N78" s="16">
        <v>1</v>
      </c>
      <c r="O78" s="16">
        <v>0</v>
      </c>
      <c r="P78" s="16">
        <v>770</v>
      </c>
      <c r="Q78" s="19">
        <v>24</v>
      </c>
      <c r="R78" s="20">
        <v>45625</v>
      </c>
      <c r="S78" s="20">
        <v>42395</v>
      </c>
      <c r="T78" s="18">
        <v>221032</v>
      </c>
      <c r="U78" s="20">
        <v>42597</v>
      </c>
      <c r="V78" s="1"/>
    </row>
    <row r="79" spans="1:22" ht="24" customHeight="1">
      <c r="A79" s="1"/>
      <c r="B79" s="14" t="str">
        <f>HYPERLINK("https://www.compass.com/listing/108-36-175th-street-queens-ny-11433/210832185945499345/view?agent_id=610d3f3370540700019b0833","108-36 175th Street")</f>
        <v>108-36 175th Street</v>
      </c>
      <c r="C79" s="15" t="s">
        <v>37</v>
      </c>
      <c r="D79" s="16" t="s">
        <v>23</v>
      </c>
      <c r="E79" s="17" t="str">
        <f>HYPERLINK("https://www.compass.com/building/108-36-175th-st-queens-ny-11433/293531259299185509/","108-36 175th St")</f>
        <v>108-36 175th St</v>
      </c>
      <c r="F79" s="15" t="s">
        <v>24</v>
      </c>
      <c r="G79" s="18">
        <v>250000</v>
      </c>
      <c r="H79" s="18">
        <v>305</v>
      </c>
      <c r="I79" s="18">
        <v>258</v>
      </c>
      <c r="J79" s="18">
        <v>3095</v>
      </c>
      <c r="K79" s="15" t="s">
        <v>38</v>
      </c>
      <c r="L79" s="16">
        <v>7</v>
      </c>
      <c r="M79" s="16">
        <v>2</v>
      </c>
      <c r="N79" s="16">
        <v>1</v>
      </c>
      <c r="O79" s="16"/>
      <c r="P79" s="16">
        <v>820</v>
      </c>
      <c r="Q79" s="19">
        <v>219</v>
      </c>
      <c r="R79" s="20">
        <v>42321</v>
      </c>
      <c r="S79" s="20">
        <v>42101</v>
      </c>
      <c r="T79" s="18">
        <v>250000</v>
      </c>
      <c r="U79" s="20">
        <v>42320</v>
      </c>
      <c r="V79" s="1"/>
    </row>
    <row r="80" spans="1:22" ht="24" customHeight="1">
      <c r="A80" s="1"/>
      <c r="B80" s="14" t="str">
        <f>HYPERLINK("https://www.compass.com/listing/110-36-174th-street-queens-ny-11433/29131845002106865/view?agent_id=610d3f3370540700019b0833","110-36 174th Street")</f>
        <v>110-36 174th Street</v>
      </c>
      <c r="C80" s="15" t="s">
        <v>37</v>
      </c>
      <c r="D80" s="16" t="s">
        <v>23</v>
      </c>
      <c r="E80" s="17" t="str">
        <f>HYPERLINK("https://www.compass.com/building/110-36-174th-st-queens-ny-11433/293417719246621237/","110-36 174th St")</f>
        <v>110-36 174th St</v>
      </c>
      <c r="F80" s="15" t="s">
        <v>24</v>
      </c>
      <c r="G80" s="18">
        <v>275000</v>
      </c>
      <c r="H80" s="18">
        <v>344</v>
      </c>
      <c r="I80" s="18">
        <v>304</v>
      </c>
      <c r="J80" s="18">
        <v>3648</v>
      </c>
      <c r="K80" s="15" t="s">
        <v>38</v>
      </c>
      <c r="L80" s="16">
        <v>6</v>
      </c>
      <c r="M80" s="16">
        <v>2</v>
      </c>
      <c r="N80" s="16">
        <v>1</v>
      </c>
      <c r="O80" s="16"/>
      <c r="P80" s="16">
        <v>800</v>
      </c>
      <c r="Q80" s="19">
        <v>14</v>
      </c>
      <c r="R80" s="20">
        <v>45626</v>
      </c>
      <c r="S80" s="20">
        <v>42874</v>
      </c>
      <c r="T80" s="18">
        <v>275000</v>
      </c>
      <c r="U80" s="20">
        <v>42908</v>
      </c>
      <c r="V80" s="1"/>
    </row>
    <row r="81" spans="1:22" ht="24" customHeight="1">
      <c r="A81" s="1"/>
      <c r="B81" s="14" t="str">
        <f>HYPERLINK("https://www.compass.com/listing/112-28-159th-street-queens-ny-11433/315805653570223505/view?agent_id=610d3f3370540700019b0833","112-28 159th St")</f>
        <v>112-28 159th St</v>
      </c>
      <c r="C81" s="15" t="s">
        <v>37</v>
      </c>
      <c r="D81" s="16" t="s">
        <v>23</v>
      </c>
      <c r="E81" s="17" t="str">
        <f>HYPERLINK("https://www.compass.com/building/112-28-159th-st-queens-ny-11433/293417353679474949/","112-28 159th St")</f>
        <v>112-28 159th St</v>
      </c>
      <c r="F81" s="15" t="s">
        <v>24</v>
      </c>
      <c r="G81" s="18">
        <v>296500</v>
      </c>
      <c r="H81" s="18"/>
      <c r="I81" s="18">
        <v>326</v>
      </c>
      <c r="J81" s="18">
        <v>3916</v>
      </c>
      <c r="K81" s="15" t="s">
        <v>38</v>
      </c>
      <c r="L81" s="16"/>
      <c r="M81" s="16">
        <v>2</v>
      </c>
      <c r="N81" s="16">
        <v>1</v>
      </c>
      <c r="O81" s="16">
        <v>0</v>
      </c>
      <c r="P81" s="16"/>
      <c r="Q81" s="19">
        <v>145</v>
      </c>
      <c r="R81" s="20">
        <v>43687</v>
      </c>
      <c r="S81" s="20">
        <v>43503</v>
      </c>
      <c r="T81" s="18">
        <v>296500</v>
      </c>
      <c r="U81" s="20">
        <v>43686</v>
      </c>
      <c r="V81" s="1"/>
    </row>
    <row r="82" spans="1:22" ht="24" customHeight="1">
      <c r="A82" s="1"/>
      <c r="B82" s="14" t="str">
        <f>HYPERLINK("https://www.compass.com/listing/164-51-nadal-place-queens-ny-11433/502688811350911721/view?agent_id=610d3f3370540700019b0833","164-51 Nadal Place")</f>
        <v>164-51 Nadal Place</v>
      </c>
      <c r="C82" s="15" t="s">
        <v>37</v>
      </c>
      <c r="D82" s="16" t="s">
        <v>23</v>
      </c>
      <c r="E82" s="17" t="str">
        <f>HYPERLINK("https://www.compass.com/building/164-51-nadal-pl-queens-ny-11433/293528744184780741/","164-51 Nadal Pl")</f>
        <v>164-51 Nadal Pl</v>
      </c>
      <c r="F82" s="15" t="s">
        <v>24</v>
      </c>
      <c r="G82" s="18">
        <v>279000</v>
      </c>
      <c r="H82" s="18"/>
      <c r="I82" s="18">
        <v>146</v>
      </c>
      <c r="J82" s="18">
        <v>1751</v>
      </c>
      <c r="K82" s="15" t="s">
        <v>38</v>
      </c>
      <c r="L82" s="16">
        <v>5</v>
      </c>
      <c r="M82" s="16">
        <v>2</v>
      </c>
      <c r="N82" s="16">
        <v>1</v>
      </c>
      <c r="O82" s="16"/>
      <c r="P82" s="16"/>
      <c r="Q82" s="19">
        <v>1050</v>
      </c>
      <c r="R82" s="20">
        <v>45597</v>
      </c>
      <c r="S82" s="20">
        <v>42556</v>
      </c>
      <c r="T82" s="18">
        <v>279000</v>
      </c>
      <c r="U82" s="20">
        <v>43606</v>
      </c>
      <c r="V82" s="1"/>
    </row>
    <row r="83" spans="1:22" ht="24" customHeight="1">
      <c r="A83" s="1"/>
      <c r="B83" s="14" t="str">
        <f>HYPERLINK("https://www.compass.com/listing/150-34-113th-avenue-queens-ny-11433/1730618963025975841/view?agent_id=610d3f3370540700019b0833","150-34 113th Avenue")</f>
        <v>150-34 113th Avenue</v>
      </c>
      <c r="C83" s="15" t="s">
        <v>37</v>
      </c>
      <c r="D83" s="16" t="s">
        <v>23</v>
      </c>
      <c r="E83" s="17" t="str">
        <f>HYPERLINK("https://www.compass.com/building/150-34-113th-ave-queens-ny-11433/293528617122609797/","150-34 113th Ave")</f>
        <v>150-34 113th Ave</v>
      </c>
      <c r="F83" s="15" t="s">
        <v>24</v>
      </c>
      <c r="G83" s="18">
        <v>260000</v>
      </c>
      <c r="H83" s="18"/>
      <c r="I83" s="18">
        <v>158</v>
      </c>
      <c r="J83" s="18">
        <v>1891</v>
      </c>
      <c r="K83" s="15" t="s">
        <v>38</v>
      </c>
      <c r="L83" s="16">
        <v>6</v>
      </c>
      <c r="M83" s="16">
        <v>2</v>
      </c>
      <c r="N83" s="16">
        <v>1</v>
      </c>
      <c r="O83" s="16">
        <v>0</v>
      </c>
      <c r="P83" s="16"/>
      <c r="Q83" s="19">
        <v>98</v>
      </c>
      <c r="R83" s="20">
        <v>45617</v>
      </c>
      <c r="S83" s="20">
        <v>41968</v>
      </c>
      <c r="T83" s="18">
        <v>260000</v>
      </c>
      <c r="U83" s="20">
        <v>42348</v>
      </c>
      <c r="V83" s="1"/>
    </row>
    <row r="84" spans="1:22" ht="24" customHeight="1">
      <c r="A84" s="1"/>
      <c r="B84" s="14" t="str">
        <f>HYPERLINK("https://www.compass.com/listing/164-42-nadal-place-queens-ny-11433/29131211871888353/view?agent_id=610d3f3370540700019b0833","164-42 Nadal Place")</f>
        <v>164-42 Nadal Place</v>
      </c>
      <c r="C84" s="15" t="s">
        <v>37</v>
      </c>
      <c r="D84" s="16" t="s">
        <v>23</v>
      </c>
      <c r="E84" s="17" t="str">
        <f>HYPERLINK("https://www.compass.com/building/164-42-nadal-pl-queens-ny-11433/293526885504154197/","164-42 Nadal Pl")</f>
        <v>164-42 Nadal Pl</v>
      </c>
      <c r="F84" s="15" t="s">
        <v>24</v>
      </c>
      <c r="G84" s="18">
        <v>225000</v>
      </c>
      <c r="H84" s="18"/>
      <c r="I84" s="18">
        <v>157</v>
      </c>
      <c r="J84" s="18">
        <v>1882</v>
      </c>
      <c r="K84" s="15" t="s">
        <v>38</v>
      </c>
      <c r="L84" s="16">
        <v>5</v>
      </c>
      <c r="M84" s="16">
        <v>2</v>
      </c>
      <c r="N84" s="16">
        <v>1</v>
      </c>
      <c r="O84" s="16">
        <v>0</v>
      </c>
      <c r="P84" s="16"/>
      <c r="Q84" s="19">
        <v>310</v>
      </c>
      <c r="R84" s="20">
        <v>45625</v>
      </c>
      <c r="S84" s="20">
        <v>42314</v>
      </c>
      <c r="T84" s="18">
        <v>225000</v>
      </c>
      <c r="U84" s="20">
        <v>42671</v>
      </c>
      <c r="V84" s="1"/>
    </row>
    <row r="85" spans="1:22" ht="24" customHeight="1">
      <c r="A85" s="1"/>
      <c r="B85" s="14" t="str">
        <f>HYPERLINK("https://www.compass.com/listing/110-21-174th-street-queens-ny-11433/29131851494860881/view?agent_id=610d3f3370540700019b0833","110-21 174th Street")</f>
        <v>110-21 174th Street</v>
      </c>
      <c r="C85" s="15" t="s">
        <v>37</v>
      </c>
      <c r="D85" s="16" t="s">
        <v>23</v>
      </c>
      <c r="E85" s="17" t="str">
        <f>HYPERLINK("https://www.compass.com/building/110-21-174th-st-queens-ny-11433/293526584478957637/","110-21 174th St")</f>
        <v>110-21 174th St</v>
      </c>
      <c r="F85" s="15" t="s">
        <v>24</v>
      </c>
      <c r="G85" s="18">
        <v>265000</v>
      </c>
      <c r="H85" s="18"/>
      <c r="I85" s="18">
        <v>296</v>
      </c>
      <c r="J85" s="18">
        <v>3553</v>
      </c>
      <c r="K85" s="15" t="s">
        <v>38</v>
      </c>
      <c r="L85" s="16">
        <v>5</v>
      </c>
      <c r="M85" s="16">
        <v>2</v>
      </c>
      <c r="N85" s="16">
        <v>1</v>
      </c>
      <c r="O85" s="16"/>
      <c r="P85" s="16"/>
      <c r="Q85" s="19">
        <v>361</v>
      </c>
      <c r="R85" s="20">
        <v>45597</v>
      </c>
      <c r="S85" s="20">
        <v>42678</v>
      </c>
      <c r="T85" s="18">
        <v>265000</v>
      </c>
      <c r="U85" s="20">
        <v>43146</v>
      </c>
      <c r="V85" s="1"/>
    </row>
    <row r="86" spans="1:22" ht="24" customHeight="1">
      <c r="A86" s="1"/>
      <c r="B86" s="14" t="str">
        <f>HYPERLINK("https://www.compass.com/listing/153-20-111th-road-queens-ny-11433/693567349602245497/view?agent_id=610d3f3370540700019b0833","153-20 111th Road")</f>
        <v>153-20 111th Road</v>
      </c>
      <c r="C86" s="15" t="s">
        <v>37</v>
      </c>
      <c r="D86" s="16" t="s">
        <v>23</v>
      </c>
      <c r="E86" s="17" t="str">
        <f>HYPERLINK("https://www.compass.com/building/153-20-111th-rd-queens-ny-11433/293529711835910245/","153-20 111th Rd")</f>
        <v>153-20 111th Rd</v>
      </c>
      <c r="F86" s="15" t="s">
        <v>24</v>
      </c>
      <c r="G86" s="18">
        <v>368000</v>
      </c>
      <c r="H86" s="18"/>
      <c r="I86" s="18">
        <v>231</v>
      </c>
      <c r="J86" s="18">
        <v>2770</v>
      </c>
      <c r="K86" s="15" t="s">
        <v>38</v>
      </c>
      <c r="L86" s="16">
        <v>5</v>
      </c>
      <c r="M86" s="16">
        <v>2</v>
      </c>
      <c r="N86" s="16">
        <v>1</v>
      </c>
      <c r="O86" s="16"/>
      <c r="P86" s="16"/>
      <c r="Q86" s="19">
        <v>55</v>
      </c>
      <c r="R86" s="20">
        <v>45597</v>
      </c>
      <c r="S86" s="20">
        <v>44208</v>
      </c>
      <c r="T86" s="18">
        <v>368000</v>
      </c>
      <c r="U86" s="20">
        <v>44274</v>
      </c>
      <c r="V86" s="1"/>
    </row>
    <row r="87" spans="1:22" ht="24" customHeight="1">
      <c r="A87" s="1"/>
      <c r="B87" s="14" t="str">
        <f>HYPERLINK("https://www.compass.com/listing/173-57-105th-avenue-queens-ny-11433/1240660731439274121/view?agent_id=610d3f3370540700019b0833","173-57 105th Avenue")</f>
        <v>173-57 105th Avenue</v>
      </c>
      <c r="C87" s="15" t="s">
        <v>37</v>
      </c>
      <c r="D87" s="16" t="s">
        <v>23</v>
      </c>
      <c r="E87" s="17" t="str">
        <f>HYPERLINK("https://www.compass.com/building/173-57-105th-ave-queens-ny-11433/293528784936656373/","173-57 105th Ave")</f>
        <v>173-57 105th Ave</v>
      </c>
      <c r="F87" s="15" t="s">
        <v>24</v>
      </c>
      <c r="G87" s="18">
        <v>570000</v>
      </c>
      <c r="H87" s="18">
        <v>679</v>
      </c>
      <c r="I87" s="18">
        <v>310</v>
      </c>
      <c r="J87" s="18">
        <v>3719</v>
      </c>
      <c r="K87" s="15" t="s">
        <v>26</v>
      </c>
      <c r="L87" s="16">
        <v>5</v>
      </c>
      <c r="M87" s="16">
        <v>2</v>
      </c>
      <c r="N87" s="16">
        <v>1</v>
      </c>
      <c r="O87" s="16"/>
      <c r="P87" s="16">
        <v>840</v>
      </c>
      <c r="Q87" s="19">
        <v>24</v>
      </c>
      <c r="R87" s="20">
        <v>45617</v>
      </c>
      <c r="S87" s="20">
        <v>44967</v>
      </c>
      <c r="T87" s="18">
        <v>570000</v>
      </c>
      <c r="U87" s="20">
        <v>45049</v>
      </c>
      <c r="V87" s="1"/>
    </row>
    <row r="88" spans="1:22" ht="24" customHeight="1">
      <c r="A88" s="1"/>
      <c r="B88" s="14" t="str">
        <f>HYPERLINK("https://www.compass.com/listing/110-01-171st-place-queens-ny-11433/210860045737521185/view?agent_id=610d3f3370540700019b0833","110-01 171st Place")</f>
        <v>110-01 171st Place</v>
      </c>
      <c r="C88" s="15" t="s">
        <v>37</v>
      </c>
      <c r="D88" s="16" t="s">
        <v>23</v>
      </c>
      <c r="E88" s="17" t="str">
        <f>HYPERLINK("https://www.compass.com/building/110-01-171st-pl-queens-ny-11433/293534401193577413/","110-01 171st Pl")</f>
        <v>110-01 171st Pl</v>
      </c>
      <c r="F88" s="15" t="s">
        <v>24</v>
      </c>
      <c r="G88" s="18">
        <v>420000</v>
      </c>
      <c r="H88" s="18"/>
      <c r="I88" s="18">
        <v>323</v>
      </c>
      <c r="J88" s="18">
        <v>3872</v>
      </c>
      <c r="K88" s="15" t="s">
        <v>38</v>
      </c>
      <c r="L88" s="16">
        <v>5</v>
      </c>
      <c r="M88" s="16">
        <v>2</v>
      </c>
      <c r="N88" s="16">
        <v>1</v>
      </c>
      <c r="O88" s="16"/>
      <c r="P88" s="16"/>
      <c r="Q88" s="19">
        <v>77</v>
      </c>
      <c r="R88" s="20">
        <v>45627</v>
      </c>
      <c r="S88" s="20">
        <v>43542</v>
      </c>
      <c r="T88" s="18">
        <v>420000</v>
      </c>
      <c r="U88" s="20">
        <v>43699</v>
      </c>
      <c r="V88" s="1"/>
    </row>
    <row r="89" spans="1:22" ht="24" customHeight="1">
      <c r="A89" s="1"/>
      <c r="B89" s="14" t="str">
        <f>HYPERLINK("https://www.compass.com/listing/164-47-nadal-place-queens-ny-11433/1730720431805166361/view?agent_id=610d3f3370540700019b0833","164-47 Nadal Place")</f>
        <v>164-47 Nadal Place</v>
      </c>
      <c r="C89" s="15" t="s">
        <v>37</v>
      </c>
      <c r="D89" s="16" t="s">
        <v>23</v>
      </c>
      <c r="E89" s="17" t="str">
        <f>HYPERLINK("https://www.compass.com/building/164-47-nadal-pl-queens-ny-11433/293530316788753685/","164-47 Nadal Pl")</f>
        <v>164-47 Nadal Pl</v>
      </c>
      <c r="F89" s="15" t="s">
        <v>24</v>
      </c>
      <c r="G89" s="18">
        <v>99900</v>
      </c>
      <c r="H89" s="18">
        <v>111</v>
      </c>
      <c r="I89" s="18">
        <v>217</v>
      </c>
      <c r="J89" s="18">
        <v>2600</v>
      </c>
      <c r="K89" s="15" t="s">
        <v>26</v>
      </c>
      <c r="L89" s="16">
        <v>5</v>
      </c>
      <c r="M89" s="16">
        <v>2</v>
      </c>
      <c r="N89" s="16">
        <v>1</v>
      </c>
      <c r="O89" s="16"/>
      <c r="P89" s="16">
        <v>900</v>
      </c>
      <c r="Q89" s="19">
        <v>181</v>
      </c>
      <c r="R89" s="20">
        <v>45617</v>
      </c>
      <c r="S89" s="20">
        <v>41660</v>
      </c>
      <c r="T89" s="18">
        <v>99900</v>
      </c>
      <c r="U89" s="20">
        <v>41858</v>
      </c>
      <c r="V89" s="1"/>
    </row>
    <row r="90" spans="1:22" ht="24" customHeight="1">
      <c r="A90" s="1"/>
      <c r="B90" s="14" t="str">
        <f>HYPERLINK("https://www.compass.com/listing/104-24-165th-street-queens-ny-11433/29130978366689169/view?agent_id=610d3f3370540700019b0833","104-24 165th Street")</f>
        <v>104-24 165th Street</v>
      </c>
      <c r="C90" s="15" t="s">
        <v>37</v>
      </c>
      <c r="D90" s="16" t="s">
        <v>23</v>
      </c>
      <c r="E90" s="17" t="str">
        <f>HYPERLINK("https://www.compass.com/building/104-24-165th-st-queens-ny-11433/293531000711979669/","104-24 165th St")</f>
        <v>104-24 165th St</v>
      </c>
      <c r="F90" s="15" t="s">
        <v>24</v>
      </c>
      <c r="G90" s="18">
        <v>250000</v>
      </c>
      <c r="H90" s="18">
        <v>113</v>
      </c>
      <c r="I90" s="18">
        <v>285</v>
      </c>
      <c r="J90" s="18">
        <v>3415</v>
      </c>
      <c r="K90" s="15" t="s">
        <v>42</v>
      </c>
      <c r="L90" s="16">
        <v>8</v>
      </c>
      <c r="M90" s="16">
        <v>2</v>
      </c>
      <c r="N90" s="16">
        <v>0</v>
      </c>
      <c r="O90" s="16"/>
      <c r="P90" s="21">
        <v>2206</v>
      </c>
      <c r="Q90" s="19">
        <v>110</v>
      </c>
      <c r="R90" s="20">
        <v>45617</v>
      </c>
      <c r="S90" s="20">
        <v>42747</v>
      </c>
      <c r="T90" s="18">
        <v>250000</v>
      </c>
      <c r="U90" s="20">
        <v>42858</v>
      </c>
      <c r="V90" s="1"/>
    </row>
    <row r="91" spans="1:22" ht="24" customHeight="1">
      <c r="A91" s="1"/>
      <c r="B91" s="14" t="str">
        <f>HYPERLINK("https://www.compass.com/listing/171-27-105th-avenue-queens-ny-11433/1387910594802829953/view?agent_id=610d3f3370540700019b0833","171-27 105th Avenue")</f>
        <v>171-27 105th Avenue</v>
      </c>
      <c r="C91" s="15" t="s">
        <v>37</v>
      </c>
      <c r="D91" s="16" t="s">
        <v>23</v>
      </c>
      <c r="E91" s="17" t="str">
        <f>HYPERLINK("https://www.compass.com/building/171-27-105th-ave-queens-ny-11433/293528982807225269/","171-27 105th Ave")</f>
        <v>171-27 105th Ave</v>
      </c>
      <c r="F91" s="15" t="s">
        <v>24</v>
      </c>
      <c r="G91" s="18">
        <v>565000</v>
      </c>
      <c r="H91" s="18">
        <v>583</v>
      </c>
      <c r="I91" s="18">
        <v>349</v>
      </c>
      <c r="J91" s="18">
        <v>4191</v>
      </c>
      <c r="K91" s="15" t="s">
        <v>38</v>
      </c>
      <c r="L91" s="16">
        <v>4</v>
      </c>
      <c r="M91" s="16">
        <v>2</v>
      </c>
      <c r="N91" s="16">
        <v>1</v>
      </c>
      <c r="O91" s="16"/>
      <c r="P91" s="16">
        <v>969</v>
      </c>
      <c r="Q91" s="19">
        <v>40</v>
      </c>
      <c r="R91" s="20">
        <v>45617</v>
      </c>
      <c r="S91" s="20">
        <v>45205</v>
      </c>
      <c r="T91" s="18">
        <v>565000</v>
      </c>
      <c r="U91" s="20">
        <v>45372</v>
      </c>
      <c r="V91" s="1"/>
    </row>
    <row r="92" spans="1:22" ht="24" customHeight="1">
      <c r="A92" s="1"/>
      <c r="B92" s="14" t="str">
        <f>HYPERLINK("https://www.compass.com/listing/107-28-watson-place-queens-ny-11433/536029234341580497/view?agent_id=610d3f3370540700019b0833","107-28 Watson Place")</f>
        <v>107-28 Watson Place</v>
      </c>
      <c r="C92" s="15" t="s">
        <v>37</v>
      </c>
      <c r="D92" s="16" t="s">
        <v>23</v>
      </c>
      <c r="E92" s="17" t="str">
        <f>HYPERLINK("https://www.compass.com/building/107-28-watson-pl-queens-ny-11433/293526178478812581/","107-28 Watson Pl")</f>
        <v>107-28 Watson Pl</v>
      </c>
      <c r="F92" s="15" t="s">
        <v>24</v>
      </c>
      <c r="G92" s="18">
        <v>445000</v>
      </c>
      <c r="H92" s="18"/>
      <c r="I92" s="18">
        <v>308</v>
      </c>
      <c r="J92" s="18">
        <v>3690</v>
      </c>
      <c r="K92" s="15" t="s">
        <v>38</v>
      </c>
      <c r="L92" s="16">
        <v>5</v>
      </c>
      <c r="M92" s="16">
        <v>2</v>
      </c>
      <c r="N92" s="16">
        <v>1</v>
      </c>
      <c r="O92" s="16"/>
      <c r="P92" s="16"/>
      <c r="Q92" s="19">
        <v>93</v>
      </c>
      <c r="R92" s="20">
        <v>45597</v>
      </c>
      <c r="S92" s="20">
        <v>43991</v>
      </c>
      <c r="T92" s="18">
        <v>445000</v>
      </c>
      <c r="U92" s="20">
        <v>44152</v>
      </c>
      <c r="V92" s="1"/>
    </row>
    <row r="93" spans="1:22" ht="24" customHeight="1">
      <c r="A93" s="1"/>
      <c r="B93" s="14" t="str">
        <f>HYPERLINK("https://www.compass.com/listing/107-56-watson-place-queens-ny-11433/1099565563420119833/view?agent_id=610d3f3370540700019b0833","107-56 Watson Place")</f>
        <v>107-56 Watson Place</v>
      </c>
      <c r="C93" s="15" t="s">
        <v>37</v>
      </c>
      <c r="D93" s="16" t="s">
        <v>23</v>
      </c>
      <c r="E93" s="17" t="str">
        <f>HYPERLINK("https://www.compass.com/building/107-56-watson-pl-queens-ny-11433/293534581708100421/","107-56 Watson Pl")</f>
        <v>107-56 Watson Pl</v>
      </c>
      <c r="F93" s="15" t="s">
        <v>24</v>
      </c>
      <c r="G93" s="18">
        <v>500000</v>
      </c>
      <c r="H93" s="18"/>
      <c r="I93" s="18">
        <v>330</v>
      </c>
      <c r="J93" s="18">
        <v>3959</v>
      </c>
      <c r="K93" s="15" t="s">
        <v>38</v>
      </c>
      <c r="L93" s="16">
        <v>6</v>
      </c>
      <c r="M93" s="16">
        <v>2</v>
      </c>
      <c r="N93" s="16">
        <v>1</v>
      </c>
      <c r="O93" s="16"/>
      <c r="P93" s="16"/>
      <c r="Q93" s="19">
        <v>107</v>
      </c>
      <c r="R93" s="20">
        <v>45617</v>
      </c>
      <c r="S93" s="20">
        <v>44758</v>
      </c>
      <c r="T93" s="18">
        <v>500000</v>
      </c>
      <c r="U93" s="20">
        <v>44866</v>
      </c>
      <c r="V93" s="1"/>
    </row>
    <row r="94" spans="1:22" ht="24" customHeight="1">
      <c r="A94" s="1"/>
      <c r="B94" s="14" t="str">
        <f>HYPERLINK("https://www.compass.com/listing/104-10-177th-street-queens-ny-11433/1682009954698560265/view?agent_id=610d3f3370540700019b0833","104-10 177th Street")</f>
        <v>104-10 177th Street</v>
      </c>
      <c r="C94" s="15" t="s">
        <v>37</v>
      </c>
      <c r="D94" s="16" t="s">
        <v>23</v>
      </c>
      <c r="E94" s="17" t="str">
        <f>HYPERLINK("https://www.compass.com/building/104-10-177th-st-queens-ny-11433/293526102494771285/","104-10 177th St")</f>
        <v>104-10 177th St</v>
      </c>
      <c r="F94" s="15" t="s">
        <v>24</v>
      </c>
      <c r="G94" s="18">
        <v>499000</v>
      </c>
      <c r="H94" s="18">
        <v>594</v>
      </c>
      <c r="I94" s="18">
        <v>269</v>
      </c>
      <c r="J94" s="18">
        <v>3225</v>
      </c>
      <c r="K94" s="15" t="s">
        <v>38</v>
      </c>
      <c r="L94" s="16">
        <v>5</v>
      </c>
      <c r="M94" s="16">
        <v>2</v>
      </c>
      <c r="N94" s="16">
        <v>1</v>
      </c>
      <c r="O94" s="16"/>
      <c r="P94" s="16">
        <v>840</v>
      </c>
      <c r="Q94" s="19">
        <v>31</v>
      </c>
      <c r="R94" s="20">
        <v>45695</v>
      </c>
      <c r="S94" s="20">
        <v>45572</v>
      </c>
      <c r="T94" s="18">
        <v>499000</v>
      </c>
      <c r="U94" s="20">
        <v>45685</v>
      </c>
      <c r="V94" s="1"/>
    </row>
    <row r="95" spans="1:22" ht="24" customHeight="1">
      <c r="A95" s="1"/>
      <c r="B95" s="14" t="str">
        <f>HYPERLINK("https://www.compass.com/listing/108-11-fern-place-queens-ny-11433/1404368053704363705/view?agent_id=610d3f3370540700019b0833","108-11 Fern Place")</f>
        <v>108-11 Fern Place</v>
      </c>
      <c r="C95" s="15" t="s">
        <v>37</v>
      </c>
      <c r="D95" s="16" t="s">
        <v>23</v>
      </c>
      <c r="E95" s="17" t="str">
        <f>HYPERLINK("https://www.compass.com/building/108-11-fern-pl-queens-ny-11433/293534253604480117/","108-11 Fern Pl")</f>
        <v>108-11 Fern Pl</v>
      </c>
      <c r="F95" s="15" t="s">
        <v>24</v>
      </c>
      <c r="G95" s="18">
        <v>510000</v>
      </c>
      <c r="H95" s="18"/>
      <c r="I95" s="18">
        <v>322</v>
      </c>
      <c r="J95" s="18">
        <v>3863</v>
      </c>
      <c r="K95" s="15" t="s">
        <v>38</v>
      </c>
      <c r="L95" s="16">
        <v>5</v>
      </c>
      <c r="M95" s="16">
        <v>2</v>
      </c>
      <c r="N95" s="16">
        <v>1</v>
      </c>
      <c r="O95" s="16"/>
      <c r="P95" s="16"/>
      <c r="Q95" s="19">
        <v>141</v>
      </c>
      <c r="R95" s="20">
        <v>45617</v>
      </c>
      <c r="S95" s="20">
        <v>45188</v>
      </c>
      <c r="T95" s="18">
        <v>510000</v>
      </c>
      <c r="U95" s="20">
        <v>45422</v>
      </c>
      <c r="V95" s="1"/>
    </row>
    <row r="96" spans="1:22" ht="24" customHeight="1">
      <c r="A96" s="1"/>
      <c r="B96" s="14" t="str">
        <f>HYPERLINK("https://www.compass.com/listing/105-45-171st-place-queens-ny-11433/1623943321581017185/view?agent_id=610d3f3370540700019b0833","105-45 171st Place")</f>
        <v>105-45 171st Place</v>
      </c>
      <c r="C96" s="15" t="s">
        <v>37</v>
      </c>
      <c r="D96" s="16" t="s">
        <v>23</v>
      </c>
      <c r="E96" s="17" t="str">
        <f>HYPERLINK("https://www.compass.com/building/105-45-171st-pl-queens-ny-11433/293418178992716693/","105-45 171st Pl")</f>
        <v>105-45 171st Pl</v>
      </c>
      <c r="F96" s="15" t="s">
        <v>24</v>
      </c>
      <c r="G96" s="18">
        <v>525000</v>
      </c>
      <c r="H96" s="18">
        <v>586</v>
      </c>
      <c r="I96" s="18">
        <v>223</v>
      </c>
      <c r="J96" s="18">
        <v>2676</v>
      </c>
      <c r="K96" s="15" t="s">
        <v>26</v>
      </c>
      <c r="L96" s="16">
        <v>6</v>
      </c>
      <c r="M96" s="16">
        <v>2</v>
      </c>
      <c r="N96" s="16">
        <v>1</v>
      </c>
      <c r="O96" s="16"/>
      <c r="P96" s="16">
        <v>896</v>
      </c>
      <c r="Q96" s="19">
        <v>299</v>
      </c>
      <c r="R96" s="20">
        <v>45854</v>
      </c>
      <c r="S96" s="20">
        <v>45492</v>
      </c>
      <c r="T96" s="18">
        <v>525000</v>
      </c>
      <c r="U96" s="20">
        <v>45854</v>
      </c>
      <c r="V96" s="1"/>
    </row>
    <row r="97" spans="1:22" ht="24" customHeight="1">
      <c r="A97" s="1"/>
      <c r="B97" s="14" t="str">
        <f>HYPERLINK("https://www.compass.com/listing/112-08-168th-street-queens-ny-11433/1598055626189541465/view?agent_id=610d3f3370540700019b0833","112-08 168th Street")</f>
        <v>112-08 168th Street</v>
      </c>
      <c r="C97" s="15" t="s">
        <v>37</v>
      </c>
      <c r="D97" s="16" t="s">
        <v>23</v>
      </c>
      <c r="E97" s="17" t="str">
        <f>HYPERLINK("https://www.compass.com/building/112-08-168th-st-queens-ny-11433/293529748838073621/","112-08 168th St")</f>
        <v>112-08 168th St</v>
      </c>
      <c r="F97" s="15" t="s">
        <v>24</v>
      </c>
      <c r="G97" s="18">
        <v>575000</v>
      </c>
      <c r="H97" s="18">
        <v>757</v>
      </c>
      <c r="I97" s="18">
        <v>318</v>
      </c>
      <c r="J97" s="18">
        <v>3814</v>
      </c>
      <c r="K97" s="15" t="s">
        <v>26</v>
      </c>
      <c r="L97" s="16">
        <v>12</v>
      </c>
      <c r="M97" s="16">
        <v>2</v>
      </c>
      <c r="N97" s="16">
        <v>1</v>
      </c>
      <c r="O97" s="16"/>
      <c r="P97" s="16">
        <v>760</v>
      </c>
      <c r="Q97" s="19">
        <v>50</v>
      </c>
      <c r="R97" s="20">
        <v>45601</v>
      </c>
      <c r="S97" s="20">
        <v>45456</v>
      </c>
      <c r="T97" s="18">
        <v>575000</v>
      </c>
      <c r="U97" s="20">
        <v>45596</v>
      </c>
      <c r="V97" s="1"/>
    </row>
    <row r="98" spans="1:22" ht="24" customHeight="1">
      <c r="A98" s="1"/>
      <c r="B98" s="14" t="str">
        <f>HYPERLINK("https://www.compass.com/listing/87-70-173rd-street-unit-5e-queens-ny-11432/29129260555901873/view?agent_id=610d3f3370540700019b0833","87-70 173rd Street, Unit 5E")</f>
        <v>87-70 173rd Street, Unit 5E</v>
      </c>
      <c r="C98" s="15" t="s">
        <v>37</v>
      </c>
      <c r="D98" s="16" t="s">
        <v>23</v>
      </c>
      <c r="E98" s="17" t="str">
        <f t="shared" ref="E98:E104" si="6">HYPERLINK("https://www.compass.com/building/87-70-173rd-st-queens-ny-11432/293417969093019925/","87-70 173rd St")</f>
        <v>87-70 173rd St</v>
      </c>
      <c r="F98" s="15" t="s">
        <v>27</v>
      </c>
      <c r="G98" s="18">
        <v>141000</v>
      </c>
      <c r="H98" s="18"/>
      <c r="I98" s="18">
        <v>0</v>
      </c>
      <c r="J98" s="18">
        <v>0</v>
      </c>
      <c r="K98" s="15" t="s">
        <v>28</v>
      </c>
      <c r="L98" s="16">
        <v>5</v>
      </c>
      <c r="M98" s="16">
        <v>2</v>
      </c>
      <c r="N98" s="16">
        <v>1</v>
      </c>
      <c r="O98" s="16"/>
      <c r="P98" s="16"/>
      <c r="Q98" s="19">
        <v>63</v>
      </c>
      <c r="R98" s="20">
        <v>45617</v>
      </c>
      <c r="S98" s="20">
        <v>42153</v>
      </c>
      <c r="T98" s="18">
        <v>141000</v>
      </c>
      <c r="U98" s="20">
        <v>42303</v>
      </c>
      <c r="V98" s="1"/>
    </row>
    <row r="99" spans="1:22" ht="24" customHeight="1">
      <c r="A99" s="1"/>
      <c r="B99" s="14" t="str">
        <f>HYPERLINK("https://www.compass.com/listing/87-70-173rd-street-unit-7e-queens-ny-11432/29129257535975553/view?agent_id=610d3f3370540700019b0833","87-70 173rd Street, Unit 7E")</f>
        <v>87-70 173rd Street, Unit 7E</v>
      </c>
      <c r="C99" s="15" t="s">
        <v>37</v>
      </c>
      <c r="D99" s="16" t="s">
        <v>23</v>
      </c>
      <c r="E99" s="17" t="str">
        <f t="shared" si="6"/>
        <v>87-70 173rd St</v>
      </c>
      <c r="F99" s="15" t="s">
        <v>27</v>
      </c>
      <c r="G99" s="18">
        <v>140000</v>
      </c>
      <c r="H99" s="18"/>
      <c r="I99" s="18">
        <v>0</v>
      </c>
      <c r="J99" s="18">
        <v>0</v>
      </c>
      <c r="K99" s="15" t="s">
        <v>28</v>
      </c>
      <c r="L99" s="16">
        <v>5</v>
      </c>
      <c r="M99" s="16">
        <v>2</v>
      </c>
      <c r="N99" s="16">
        <v>1</v>
      </c>
      <c r="O99" s="16"/>
      <c r="P99" s="16"/>
      <c r="Q99" s="19">
        <v>50</v>
      </c>
      <c r="R99" s="20">
        <v>45633</v>
      </c>
      <c r="S99" s="20">
        <v>41701</v>
      </c>
      <c r="T99" s="18">
        <v>140000</v>
      </c>
      <c r="U99" s="20">
        <v>41842</v>
      </c>
      <c r="V99" s="1"/>
    </row>
    <row r="100" spans="1:22" ht="24" customHeight="1">
      <c r="A100" s="1"/>
      <c r="B100" s="14" t="str">
        <f>HYPERLINK("https://www.compass.com/listing/87-70-173rd-street-unit-7h-queens-ny-11432/1730731331836408209/view?agent_id=610d3f3370540700019b0833","87-70 173rd Street, Unit 7H")</f>
        <v>87-70 173rd Street, Unit 7H</v>
      </c>
      <c r="C100" s="15" t="s">
        <v>37</v>
      </c>
      <c r="D100" s="16" t="s">
        <v>23</v>
      </c>
      <c r="E100" s="17" t="str">
        <f t="shared" si="6"/>
        <v>87-70 173rd St</v>
      </c>
      <c r="F100" s="15" t="s">
        <v>27</v>
      </c>
      <c r="G100" s="18">
        <v>100000</v>
      </c>
      <c r="H100" s="18"/>
      <c r="I100" s="18">
        <v>0</v>
      </c>
      <c r="J100" s="18">
        <v>0</v>
      </c>
      <c r="K100" s="15" t="s">
        <v>28</v>
      </c>
      <c r="L100" s="16">
        <v>4</v>
      </c>
      <c r="M100" s="16">
        <v>2</v>
      </c>
      <c r="N100" s="16">
        <v>1</v>
      </c>
      <c r="O100" s="16"/>
      <c r="P100" s="16"/>
      <c r="Q100" s="19">
        <v>142</v>
      </c>
      <c r="R100" s="20">
        <v>45597</v>
      </c>
      <c r="S100" s="20">
        <v>41548</v>
      </c>
      <c r="T100" s="18">
        <v>100000</v>
      </c>
      <c r="U100" s="20">
        <v>41780</v>
      </c>
      <c r="V100" s="1"/>
    </row>
    <row r="101" spans="1:22" ht="24" customHeight="1">
      <c r="A101" s="1"/>
      <c r="B101" s="14" t="str">
        <f>HYPERLINK("https://www.compass.com/listing/87-70-173rd-street-unit-6e-queens-ny-11432/1539980028910075553/view?agent_id=610d3f3370540700019b0833","87-70 173rd Street, Unit 6E")</f>
        <v>87-70 173rd Street, Unit 6E</v>
      </c>
      <c r="C101" s="15" t="s">
        <v>37</v>
      </c>
      <c r="D101" s="16" t="s">
        <v>23</v>
      </c>
      <c r="E101" s="17" t="str">
        <f t="shared" si="6"/>
        <v>87-70 173rd St</v>
      </c>
      <c r="F101" s="15" t="s">
        <v>27</v>
      </c>
      <c r="G101" s="18">
        <v>229000</v>
      </c>
      <c r="H101" s="18"/>
      <c r="I101" s="18">
        <v>1020</v>
      </c>
      <c r="J101" s="18">
        <v>0</v>
      </c>
      <c r="K101" s="15" t="s">
        <v>28</v>
      </c>
      <c r="L101" s="16">
        <v>5</v>
      </c>
      <c r="M101" s="16">
        <v>2</v>
      </c>
      <c r="N101" s="16">
        <v>1</v>
      </c>
      <c r="O101" s="16"/>
      <c r="P101" s="16"/>
      <c r="Q101" s="19">
        <v>155</v>
      </c>
      <c r="R101" s="20">
        <v>45684</v>
      </c>
      <c r="S101" s="20">
        <v>45376</v>
      </c>
      <c r="T101" s="18">
        <v>229000</v>
      </c>
      <c r="U101" s="20">
        <v>45684</v>
      </c>
      <c r="V101" s="1"/>
    </row>
    <row r="102" spans="1:22" ht="24" customHeight="1">
      <c r="A102" s="1"/>
      <c r="B102" s="14" t="str">
        <f>HYPERLINK("https://www.compass.com/listing/87-70-173rd-street-unit-7d-queens-ny-11432/29129257267535825/view?agent_id=610d3f3370540700019b0833","87-70 173rd Street, Unit 7D")</f>
        <v>87-70 173rd Street, Unit 7D</v>
      </c>
      <c r="C102" s="15" t="s">
        <v>37</v>
      </c>
      <c r="D102" s="16" t="s">
        <v>23</v>
      </c>
      <c r="E102" s="17" t="str">
        <f t="shared" si="6"/>
        <v>87-70 173rd St</v>
      </c>
      <c r="F102" s="15" t="s">
        <v>27</v>
      </c>
      <c r="G102" s="18">
        <v>125000</v>
      </c>
      <c r="H102" s="18"/>
      <c r="I102" s="18">
        <v>0</v>
      </c>
      <c r="J102" s="18">
        <v>0</v>
      </c>
      <c r="K102" s="15" t="s">
        <v>28</v>
      </c>
      <c r="L102" s="16">
        <v>4</v>
      </c>
      <c r="M102" s="16">
        <v>2</v>
      </c>
      <c r="N102" s="16">
        <v>1</v>
      </c>
      <c r="O102" s="16"/>
      <c r="P102" s="16"/>
      <c r="Q102" s="19">
        <v>165</v>
      </c>
      <c r="R102" s="20">
        <v>45597</v>
      </c>
      <c r="S102" s="20">
        <v>41414</v>
      </c>
      <c r="T102" s="18">
        <v>125000</v>
      </c>
      <c r="U102" s="20">
        <v>41670</v>
      </c>
      <c r="V102" s="1"/>
    </row>
    <row r="103" spans="1:22" ht="24" customHeight="1">
      <c r="A103" s="1"/>
      <c r="B103" s="14" t="str">
        <f>HYPERLINK("https://www.compass.com/listing/87-70-173rd-street-unit-6h-queens-ny-11432/29129264649542673/view?agent_id=610d3f3370540700019b0833","87-70 173rd St, Unit 6H")</f>
        <v>87-70 173rd St, Unit 6H</v>
      </c>
      <c r="C103" s="15" t="s">
        <v>37</v>
      </c>
      <c r="D103" s="16" t="s">
        <v>23</v>
      </c>
      <c r="E103" s="17" t="str">
        <f t="shared" si="6"/>
        <v>87-70 173rd St</v>
      </c>
      <c r="F103" s="15" t="s">
        <v>27</v>
      </c>
      <c r="G103" s="18">
        <v>93000</v>
      </c>
      <c r="H103" s="18"/>
      <c r="I103" s="18">
        <v>0</v>
      </c>
      <c r="J103" s="18">
        <v>0</v>
      </c>
      <c r="K103" s="15" t="s">
        <v>28</v>
      </c>
      <c r="L103" s="16"/>
      <c r="M103" s="16">
        <v>2</v>
      </c>
      <c r="N103" s="16">
        <v>1</v>
      </c>
      <c r="O103" s="16"/>
      <c r="P103" s="16"/>
      <c r="Q103" s="19"/>
      <c r="R103" s="20"/>
      <c r="S103" s="20"/>
      <c r="T103" s="18">
        <v>93000</v>
      </c>
      <c r="U103" s="20">
        <v>40283</v>
      </c>
      <c r="V103" s="1"/>
    </row>
    <row r="104" spans="1:22" ht="24" customHeight="1">
      <c r="A104" s="1"/>
      <c r="B104" s="14" t="str">
        <f>HYPERLINK("https://www.compass.com/listing/87-70-173rd-street-unit-6e-queens-ny-11432/29129260857860113/view?agent_id=610d3f3370540700019b0833","87-70 173rd St, Unit 6E")</f>
        <v>87-70 173rd St, Unit 6E</v>
      </c>
      <c r="C104" s="15" t="s">
        <v>37</v>
      </c>
      <c r="D104" s="16" t="s">
        <v>23</v>
      </c>
      <c r="E104" s="17" t="str">
        <f t="shared" si="6"/>
        <v>87-70 173rd St</v>
      </c>
      <c r="F104" s="15" t="s">
        <v>27</v>
      </c>
      <c r="G104" s="18">
        <v>159000</v>
      </c>
      <c r="H104" s="18"/>
      <c r="I104" s="18">
        <v>1020</v>
      </c>
      <c r="J104" s="18">
        <v>0</v>
      </c>
      <c r="K104" s="15" t="s">
        <v>28</v>
      </c>
      <c r="L104" s="16"/>
      <c r="M104" s="16">
        <v>2</v>
      </c>
      <c r="N104" s="16">
        <v>1</v>
      </c>
      <c r="O104" s="16"/>
      <c r="P104" s="16"/>
      <c r="Q104" s="19"/>
      <c r="R104" s="20"/>
      <c r="S104" s="20"/>
      <c r="T104" s="18">
        <v>159000</v>
      </c>
      <c r="U104" s="20">
        <v>39216</v>
      </c>
      <c r="V104" s="1"/>
    </row>
    <row r="105" spans="1:22" ht="24" customHeight="1">
      <c r="A105" s="1"/>
      <c r="B105" s="14" t="str">
        <f>HYPERLINK("https://www.compass.com/listing/89-00-170th-street-unit-7d-queens-ny-11432/29129114451483217/view?agent_id=610d3f3370540700019b0833","89-00 170th St, Unit 7D")</f>
        <v>89-00 170th St, Unit 7D</v>
      </c>
      <c r="C105" s="15" t="s">
        <v>37</v>
      </c>
      <c r="D105" s="16" t="s">
        <v>23</v>
      </c>
      <c r="E105" s="17" t="str">
        <f t="shared" ref="E105:E106" si="7">HYPERLINK("https://www.compass.com/building/89-00-170th-st-queens-ny-11432/307449656485080949/","89-00 170th St")</f>
        <v>89-00 170th St</v>
      </c>
      <c r="F105" s="15" t="s">
        <v>24</v>
      </c>
      <c r="G105" s="18">
        <v>140000</v>
      </c>
      <c r="H105" s="18">
        <v>140</v>
      </c>
      <c r="I105" s="18">
        <v>985</v>
      </c>
      <c r="J105" s="18"/>
      <c r="K105" s="15" t="s">
        <v>28</v>
      </c>
      <c r="L105" s="16"/>
      <c r="M105" s="16">
        <v>2</v>
      </c>
      <c r="N105" s="16">
        <v>1</v>
      </c>
      <c r="O105" s="16"/>
      <c r="P105" s="21">
        <v>1000</v>
      </c>
      <c r="Q105" s="19"/>
      <c r="R105" s="20"/>
      <c r="S105" s="20"/>
      <c r="T105" s="18">
        <v>140000</v>
      </c>
      <c r="U105" s="20">
        <v>39576</v>
      </c>
      <c r="V105" s="1"/>
    </row>
    <row r="106" spans="1:22" ht="24" customHeight="1">
      <c r="A106" s="1"/>
      <c r="B106" s="14" t="str">
        <f>HYPERLINK("https://www.compass.com/listing/89-00-170th-street-unit-8d-queens-ny-11432/29129126556241697/view?agent_id=610d3f3370540700019b0833","89-00 170th St, Unit 8D")</f>
        <v>89-00 170th St, Unit 8D</v>
      </c>
      <c r="C106" s="15" t="s">
        <v>37</v>
      </c>
      <c r="D106" s="16" t="s">
        <v>23</v>
      </c>
      <c r="E106" s="17" t="str">
        <f t="shared" si="7"/>
        <v>89-00 170th St</v>
      </c>
      <c r="F106" s="15" t="s">
        <v>24</v>
      </c>
      <c r="G106" s="18">
        <v>92837</v>
      </c>
      <c r="H106" s="18">
        <v>116</v>
      </c>
      <c r="I106" s="18">
        <v>1042</v>
      </c>
      <c r="J106" s="18">
        <v>500</v>
      </c>
      <c r="K106" s="15" t="s">
        <v>28</v>
      </c>
      <c r="L106" s="16"/>
      <c r="M106" s="16">
        <v>2</v>
      </c>
      <c r="N106" s="16">
        <v>1</v>
      </c>
      <c r="O106" s="16">
        <v>0</v>
      </c>
      <c r="P106" s="16">
        <v>800</v>
      </c>
      <c r="Q106" s="19"/>
      <c r="R106" s="20"/>
      <c r="S106" s="20"/>
      <c r="T106" s="18">
        <v>92837</v>
      </c>
      <c r="U106" s="20">
        <v>38482</v>
      </c>
      <c r="V106" s="1"/>
    </row>
    <row r="107" spans="1:22" ht="24" customHeight="1">
      <c r="A107" s="1"/>
      <c r="B107" s="14" t="str">
        <f>HYPERLINK("https://www.compass.com/listing/160-10-89th-avenue-unit-8l-queens-ny-11432/1730516234606124777/view?agent_id=610d3f3370540700019b0833","160-10 89th Avenue, Unit 8L")</f>
        <v>160-10 89th Avenue, Unit 8L</v>
      </c>
      <c r="C107" s="15" t="s">
        <v>37</v>
      </c>
      <c r="D107" s="16" t="s">
        <v>23</v>
      </c>
      <c r="E107" s="17" t="str">
        <f>HYPERLINK("https://www.compass.com/building/160-10-89th-ave-queens-ny-11432/293533475963683173/","160-10 89th Ave")</f>
        <v>160-10 89th Ave</v>
      </c>
      <c r="F107" s="15" t="s">
        <v>24</v>
      </c>
      <c r="G107" s="18">
        <v>153000</v>
      </c>
      <c r="H107" s="18">
        <v>128</v>
      </c>
      <c r="I107" s="18">
        <v>0</v>
      </c>
      <c r="J107" s="18">
        <v>0</v>
      </c>
      <c r="K107" s="15" t="s">
        <v>28</v>
      </c>
      <c r="L107" s="16">
        <v>5</v>
      </c>
      <c r="M107" s="16">
        <v>2</v>
      </c>
      <c r="N107" s="16">
        <v>1</v>
      </c>
      <c r="O107" s="16"/>
      <c r="P107" s="21">
        <v>1200</v>
      </c>
      <c r="Q107" s="19">
        <v>92</v>
      </c>
      <c r="R107" s="20">
        <v>45617</v>
      </c>
      <c r="S107" s="20">
        <v>41448</v>
      </c>
      <c r="T107" s="18">
        <v>153000</v>
      </c>
      <c r="U107" s="20">
        <v>41668</v>
      </c>
      <c r="V107" s="1"/>
    </row>
    <row r="108" spans="1:22" ht="24" customHeight="1">
      <c r="A108" s="1"/>
      <c r="B108" s="14" t="str">
        <f>HYPERLINK("https://www.compass.com/listing/89-15-parsons-boulevard-unit-12n-queens-ny-11432/1378959755251274617/view?agent_id=610d3f3370540700019b0833","89-15 Parsons Blvd, Unit 12N")</f>
        <v>89-15 Parsons Blvd, Unit 12N</v>
      </c>
      <c r="C108" s="15" t="s">
        <v>37</v>
      </c>
      <c r="D108" s="16" t="s">
        <v>23</v>
      </c>
      <c r="E108" s="17" t="str">
        <f t="shared" ref="E108:E111" si="8">HYPERLINK("https://www.compass.com/building/89-15-parsons-blvd-queens-ny-11432/293527323523755221/","89-15 Parsons Blvd")</f>
        <v>89-15 Parsons Blvd</v>
      </c>
      <c r="F108" s="15" t="s">
        <v>24</v>
      </c>
      <c r="G108" s="18">
        <v>155000</v>
      </c>
      <c r="H108" s="18"/>
      <c r="I108" s="18">
        <v>1107</v>
      </c>
      <c r="J108" s="18"/>
      <c r="K108" s="15" t="s">
        <v>28</v>
      </c>
      <c r="L108" s="16"/>
      <c r="M108" s="16">
        <v>2</v>
      </c>
      <c r="N108" s="16">
        <v>1</v>
      </c>
      <c r="O108" s="16"/>
      <c r="P108" s="16"/>
      <c r="Q108" s="19"/>
      <c r="R108" s="20"/>
      <c r="S108" s="20"/>
      <c r="T108" s="18">
        <v>155000</v>
      </c>
      <c r="U108" s="20">
        <v>39654</v>
      </c>
      <c r="V108" s="1"/>
    </row>
    <row r="109" spans="1:22" ht="24" customHeight="1">
      <c r="A109" s="1"/>
      <c r="B109" s="14" t="str">
        <f>HYPERLINK("https://www.compass.com/listing/89-15-parsons-boulevard-unit-11g-queens-ny-11432/29128929046462769/view?agent_id=610d3f3370540700019b0833","89-15 Parsons Blvd, Unit 11G")</f>
        <v>89-15 Parsons Blvd, Unit 11G</v>
      </c>
      <c r="C109" s="15" t="s">
        <v>37</v>
      </c>
      <c r="D109" s="16" t="s">
        <v>23</v>
      </c>
      <c r="E109" s="17" t="str">
        <f t="shared" si="8"/>
        <v>89-15 Parsons Blvd</v>
      </c>
      <c r="F109" s="15" t="s">
        <v>24</v>
      </c>
      <c r="G109" s="18">
        <v>135000</v>
      </c>
      <c r="H109" s="18"/>
      <c r="I109" s="18">
        <v>1058</v>
      </c>
      <c r="J109" s="18"/>
      <c r="K109" s="15" t="s">
        <v>28</v>
      </c>
      <c r="L109" s="16"/>
      <c r="M109" s="16">
        <v>2</v>
      </c>
      <c r="N109" s="16">
        <v>1</v>
      </c>
      <c r="O109" s="16"/>
      <c r="P109" s="16"/>
      <c r="Q109" s="19"/>
      <c r="R109" s="20"/>
      <c r="S109" s="20"/>
      <c r="T109" s="18">
        <v>135000</v>
      </c>
      <c r="U109" s="20">
        <v>39282</v>
      </c>
      <c r="V109" s="1"/>
    </row>
    <row r="110" spans="1:22" ht="24" customHeight="1">
      <c r="A110" s="1"/>
      <c r="B110" s="14" t="str">
        <f>HYPERLINK("https://www.compass.com/listing/89-15-parsons-boulevard-unit-11g-queens-ny-11432/29128929046462785/view?agent_id=610d3f3370540700019b0833","89-15 Parsons Blvd, Unit 11G")</f>
        <v>89-15 Parsons Blvd, Unit 11G</v>
      </c>
      <c r="C110" s="15" t="s">
        <v>37</v>
      </c>
      <c r="D110" s="16" t="s">
        <v>23</v>
      </c>
      <c r="E110" s="17" t="str">
        <f t="shared" si="8"/>
        <v>89-15 Parsons Blvd</v>
      </c>
      <c r="F110" s="15" t="s">
        <v>24</v>
      </c>
      <c r="G110" s="18">
        <v>163500</v>
      </c>
      <c r="H110" s="18"/>
      <c r="I110" s="18">
        <v>1058</v>
      </c>
      <c r="J110" s="18"/>
      <c r="K110" s="15" t="s">
        <v>28</v>
      </c>
      <c r="L110" s="16"/>
      <c r="M110" s="16">
        <v>2</v>
      </c>
      <c r="N110" s="16">
        <v>1</v>
      </c>
      <c r="O110" s="16"/>
      <c r="P110" s="16"/>
      <c r="Q110" s="19"/>
      <c r="R110" s="20"/>
      <c r="S110" s="20"/>
      <c r="T110" s="18">
        <v>163500</v>
      </c>
      <c r="U110" s="20">
        <v>40758</v>
      </c>
      <c r="V110" s="1"/>
    </row>
    <row r="111" spans="1:22" ht="24" customHeight="1">
      <c r="A111" s="1"/>
      <c r="B111" s="14" t="str">
        <f>HYPERLINK("https://www.compass.com/listing/89-15-parsons-boulevard-unit-12f-queens-ny-11432/29128939012125889/view?agent_id=610d3f3370540700019b0833","89-15 Parsons Blvd, Unit 12F")</f>
        <v>89-15 Parsons Blvd, Unit 12F</v>
      </c>
      <c r="C111" s="15" t="s">
        <v>37</v>
      </c>
      <c r="D111" s="16" t="s">
        <v>23</v>
      </c>
      <c r="E111" s="17" t="str">
        <f t="shared" si="8"/>
        <v>89-15 Parsons Blvd</v>
      </c>
      <c r="F111" s="15" t="s">
        <v>24</v>
      </c>
      <c r="G111" s="18">
        <v>134900</v>
      </c>
      <c r="H111" s="18"/>
      <c r="I111" s="18">
        <v>973</v>
      </c>
      <c r="J111" s="18">
        <v>0</v>
      </c>
      <c r="K111" s="15" t="s">
        <v>28</v>
      </c>
      <c r="L111" s="16"/>
      <c r="M111" s="16">
        <v>2</v>
      </c>
      <c r="N111" s="16">
        <v>1</v>
      </c>
      <c r="O111" s="16">
        <v>0</v>
      </c>
      <c r="P111" s="16"/>
      <c r="Q111" s="19"/>
      <c r="R111" s="20"/>
      <c r="S111" s="20"/>
      <c r="T111" s="18">
        <v>134900</v>
      </c>
      <c r="U111" s="20">
        <v>39700</v>
      </c>
      <c r="V111" s="1"/>
    </row>
    <row r="112" spans="1:22" ht="24" customHeight="1">
      <c r="A112" s="1"/>
      <c r="B112" s="14" t="str">
        <f>HYPERLINK("https://www.compass.com/listing/175-45-88th-avenue-unit-5h-queens-ny-11432/29129313748066465/view?agent_id=610d3f3370540700019b0833","175-45 88th Ave, Unit 5H")</f>
        <v>175-45 88th Ave, Unit 5H</v>
      </c>
      <c r="C112" s="15" t="s">
        <v>37</v>
      </c>
      <c r="D112" s="16" t="s">
        <v>23</v>
      </c>
      <c r="E112" s="17" t="str">
        <f>HYPERLINK("https://www.compass.com/building/175-45-88th-ave-queens-ny-11432/293532280863901109/","175-45 88th Ave")</f>
        <v>175-45 88th Ave</v>
      </c>
      <c r="F112" s="15" t="s">
        <v>24</v>
      </c>
      <c r="G112" s="18">
        <v>157000</v>
      </c>
      <c r="H112" s="18">
        <v>174</v>
      </c>
      <c r="I112" s="18">
        <v>0</v>
      </c>
      <c r="J112" s="18">
        <v>0</v>
      </c>
      <c r="K112" s="15" t="s">
        <v>28</v>
      </c>
      <c r="L112" s="16"/>
      <c r="M112" s="16">
        <v>2</v>
      </c>
      <c r="N112" s="16">
        <v>1</v>
      </c>
      <c r="O112" s="16">
        <v>0</v>
      </c>
      <c r="P112" s="16">
        <v>900</v>
      </c>
      <c r="Q112" s="19"/>
      <c r="R112" s="20"/>
      <c r="S112" s="20"/>
      <c r="T112" s="18">
        <v>157000</v>
      </c>
      <c r="U112" s="20">
        <v>39728</v>
      </c>
      <c r="V112" s="1"/>
    </row>
    <row r="113" spans="1:22" ht="24" customHeight="1">
      <c r="A113" s="1"/>
      <c r="B113" s="14" t="str">
        <f>HYPERLINK("https://www.compass.com/listing/89-15-parsons-boulevard-unit-11l-queens-ny-11432/328837512939917409/view?agent_id=610d3f3370540700019b0833","89-15 Parsons Blvd, Unit 11L")</f>
        <v>89-15 Parsons Blvd, Unit 11L</v>
      </c>
      <c r="C113" s="15" t="s">
        <v>37</v>
      </c>
      <c r="D113" s="16" t="s">
        <v>23</v>
      </c>
      <c r="E113" s="17" t="str">
        <f>HYPERLINK("https://www.compass.com/building/89-15-parsons-blvd-queens-ny-11432/293527323523755221/","89-15 Parsons Blvd")</f>
        <v>89-15 Parsons Blvd</v>
      </c>
      <c r="F113" s="15" t="s">
        <v>24</v>
      </c>
      <c r="G113" s="18">
        <v>150000</v>
      </c>
      <c r="H113" s="18">
        <v>115</v>
      </c>
      <c r="I113" s="18">
        <v>0</v>
      </c>
      <c r="J113" s="18"/>
      <c r="K113" s="15" t="s">
        <v>28</v>
      </c>
      <c r="L113" s="16"/>
      <c r="M113" s="16">
        <v>2</v>
      </c>
      <c r="N113" s="16">
        <v>1</v>
      </c>
      <c r="O113" s="16"/>
      <c r="P113" s="21">
        <v>1300</v>
      </c>
      <c r="Q113" s="19"/>
      <c r="R113" s="20"/>
      <c r="S113" s="20"/>
      <c r="T113" s="18">
        <v>150000</v>
      </c>
      <c r="U113" s="20">
        <v>39022</v>
      </c>
      <c r="V113" s="1"/>
    </row>
    <row r="114" spans="1:22" ht="24" customHeight="1">
      <c r="A114" s="1"/>
      <c r="B114" s="14" t="str">
        <f>HYPERLINK("https://www.compass.com/listing/160-10-89th-avenue-unit-15e-queens-ny-11432/328837554849544705/view?agent_id=610d3f3370540700019b0833","160-10 89th Ave, Unit 15E")</f>
        <v>160-10 89th Ave, Unit 15E</v>
      </c>
      <c r="C114" s="15" t="s">
        <v>37</v>
      </c>
      <c r="D114" s="16" t="s">
        <v>23</v>
      </c>
      <c r="E114" s="17" t="str">
        <f t="shared" ref="E114:E121" si="9">HYPERLINK("https://www.compass.com/building/160-10-89th-ave-queens-ny-11432/293533475963683173/","160-10 89th Ave")</f>
        <v>160-10 89th Ave</v>
      </c>
      <c r="F114" s="15" t="s">
        <v>24</v>
      </c>
      <c r="G114" s="18">
        <v>100000</v>
      </c>
      <c r="H114" s="18"/>
      <c r="I114" s="18">
        <v>0</v>
      </c>
      <c r="J114" s="18">
        <v>0</v>
      </c>
      <c r="K114" s="15" t="s">
        <v>28</v>
      </c>
      <c r="L114" s="16"/>
      <c r="M114" s="16">
        <v>2</v>
      </c>
      <c r="N114" s="16">
        <v>1</v>
      </c>
      <c r="O114" s="16"/>
      <c r="P114" s="16"/>
      <c r="Q114" s="19"/>
      <c r="R114" s="20"/>
      <c r="S114" s="20"/>
      <c r="T114" s="18">
        <v>100000</v>
      </c>
      <c r="U114" s="20">
        <v>42314</v>
      </c>
      <c r="V114" s="1"/>
    </row>
    <row r="115" spans="1:22" ht="24" customHeight="1">
      <c r="A115" s="1"/>
      <c r="B115" s="14" t="str">
        <f>HYPERLINK("https://www.compass.com/listing/160-10-89th-avenue-unit-4k-queens-ny-11432/328837558380842129/view?agent_id=610d3f3370540700019b0833","160-10 89th Ave, Unit 4K")</f>
        <v>160-10 89th Ave, Unit 4K</v>
      </c>
      <c r="C115" s="15" t="s">
        <v>37</v>
      </c>
      <c r="D115" s="16" t="s">
        <v>23</v>
      </c>
      <c r="E115" s="17" t="str">
        <f t="shared" si="9"/>
        <v>160-10 89th Ave</v>
      </c>
      <c r="F115" s="15" t="s">
        <v>24</v>
      </c>
      <c r="G115" s="18">
        <v>150000</v>
      </c>
      <c r="H115" s="18"/>
      <c r="I115" s="18">
        <v>1100</v>
      </c>
      <c r="J115" s="18">
        <v>0</v>
      </c>
      <c r="K115" s="15" t="s">
        <v>28</v>
      </c>
      <c r="L115" s="16"/>
      <c r="M115" s="16">
        <v>2</v>
      </c>
      <c r="N115" s="16">
        <v>1</v>
      </c>
      <c r="O115" s="16"/>
      <c r="P115" s="16"/>
      <c r="Q115" s="19"/>
      <c r="R115" s="20"/>
      <c r="S115" s="20"/>
      <c r="T115" s="18">
        <v>150000</v>
      </c>
      <c r="U115" s="20">
        <v>39028</v>
      </c>
      <c r="V115" s="1"/>
    </row>
    <row r="116" spans="1:22" ht="24" customHeight="1">
      <c r="A116" s="1"/>
      <c r="B116" s="14" t="str">
        <f>HYPERLINK("https://www.compass.com/listing/160-10-89th-avenue-unit-6k-queens-ny-11432/328837560226643537/view?agent_id=610d3f3370540700019b0833","160-10 89th Ave, Unit 6K")</f>
        <v>160-10 89th Ave, Unit 6K</v>
      </c>
      <c r="C116" s="15" t="s">
        <v>37</v>
      </c>
      <c r="D116" s="16" t="s">
        <v>23</v>
      </c>
      <c r="E116" s="17" t="str">
        <f t="shared" si="9"/>
        <v>160-10 89th Ave</v>
      </c>
      <c r="F116" s="15" t="s">
        <v>24</v>
      </c>
      <c r="G116" s="18">
        <v>140000</v>
      </c>
      <c r="H116" s="18"/>
      <c r="I116" s="18">
        <v>0</v>
      </c>
      <c r="J116" s="18">
        <v>0</v>
      </c>
      <c r="K116" s="15" t="s">
        <v>28</v>
      </c>
      <c r="L116" s="16"/>
      <c r="M116" s="16">
        <v>2</v>
      </c>
      <c r="N116" s="16">
        <v>1</v>
      </c>
      <c r="O116" s="16"/>
      <c r="P116" s="16"/>
      <c r="Q116" s="19"/>
      <c r="R116" s="20"/>
      <c r="S116" s="20"/>
      <c r="T116" s="18">
        <v>140000</v>
      </c>
      <c r="U116" s="20">
        <v>38803</v>
      </c>
      <c r="V116" s="1"/>
    </row>
    <row r="117" spans="1:22" ht="24" customHeight="1">
      <c r="A117" s="1"/>
      <c r="B117" s="14" t="str">
        <f>HYPERLINK("https://www.compass.com/listing/160-10-89th-avenue-unit-8l-queens-ny-11432/328837560612212225/view?agent_id=610d3f3370540700019b0833","160-10 89th Ave, Unit 8L")</f>
        <v>160-10 89th Ave, Unit 8L</v>
      </c>
      <c r="C117" s="15" t="s">
        <v>37</v>
      </c>
      <c r="D117" s="16" t="s">
        <v>23</v>
      </c>
      <c r="E117" s="17" t="str">
        <f t="shared" si="9"/>
        <v>160-10 89th Ave</v>
      </c>
      <c r="F117" s="15" t="s">
        <v>24</v>
      </c>
      <c r="G117" s="18">
        <v>64909</v>
      </c>
      <c r="H117" s="18">
        <v>59</v>
      </c>
      <c r="I117" s="18">
        <v>0</v>
      </c>
      <c r="J117" s="18">
        <v>0</v>
      </c>
      <c r="K117" s="15" t="s">
        <v>28</v>
      </c>
      <c r="L117" s="16"/>
      <c r="M117" s="16">
        <v>2</v>
      </c>
      <c r="N117" s="16">
        <v>1</v>
      </c>
      <c r="O117" s="16"/>
      <c r="P117" s="21">
        <v>1100</v>
      </c>
      <c r="Q117" s="19"/>
      <c r="R117" s="20"/>
      <c r="S117" s="20"/>
      <c r="T117" s="18">
        <v>64909</v>
      </c>
      <c r="U117" s="20">
        <v>40842</v>
      </c>
      <c r="V117" s="1"/>
    </row>
    <row r="118" spans="1:22" ht="24" customHeight="1">
      <c r="A118" s="1"/>
      <c r="B118" s="14" t="str">
        <f>HYPERLINK("https://www.compass.com/listing/160-10-89th-avenue-unit-14e-queens-ny-11432/328837564194148353/view?agent_id=610d3f3370540700019b0833","160-10 89th Ave, Unit 14E")</f>
        <v>160-10 89th Ave, Unit 14E</v>
      </c>
      <c r="C118" s="15" t="s">
        <v>37</v>
      </c>
      <c r="D118" s="16" t="s">
        <v>23</v>
      </c>
      <c r="E118" s="17" t="str">
        <f t="shared" si="9"/>
        <v>160-10 89th Ave</v>
      </c>
      <c r="F118" s="15" t="s">
        <v>24</v>
      </c>
      <c r="G118" s="18">
        <v>89000</v>
      </c>
      <c r="H118" s="18">
        <v>99</v>
      </c>
      <c r="I118" s="18">
        <v>0</v>
      </c>
      <c r="J118" s="18">
        <v>0</v>
      </c>
      <c r="K118" s="15" t="s">
        <v>28</v>
      </c>
      <c r="L118" s="16"/>
      <c r="M118" s="16">
        <v>2</v>
      </c>
      <c r="N118" s="16">
        <v>1</v>
      </c>
      <c r="O118" s="16"/>
      <c r="P118" s="16">
        <v>900</v>
      </c>
      <c r="Q118" s="19"/>
      <c r="R118" s="20"/>
      <c r="S118" s="20"/>
      <c r="T118" s="18">
        <v>89000</v>
      </c>
      <c r="U118" s="20">
        <v>38513</v>
      </c>
      <c r="V118" s="1"/>
    </row>
    <row r="119" spans="1:22" ht="24" customHeight="1">
      <c r="A119" s="1"/>
      <c r="B119" s="14" t="str">
        <f>HYPERLINK("https://www.compass.com/listing/160-10-89th-avenue-unit-4e-queens-ny-11432/328837565184004321/view?agent_id=610d3f3370540700019b0833","160-10 89th Avenue, Unit 4E")</f>
        <v>160-10 89th Avenue, Unit 4E</v>
      </c>
      <c r="C119" s="15" t="s">
        <v>37</v>
      </c>
      <c r="D119" s="16" t="s">
        <v>23</v>
      </c>
      <c r="E119" s="17" t="str">
        <f t="shared" si="9"/>
        <v>160-10 89th Ave</v>
      </c>
      <c r="F119" s="15" t="s">
        <v>24</v>
      </c>
      <c r="G119" s="18">
        <v>123000</v>
      </c>
      <c r="H119" s="18"/>
      <c r="I119" s="18">
        <v>0</v>
      </c>
      <c r="J119" s="18">
        <v>0</v>
      </c>
      <c r="K119" s="15" t="s">
        <v>28</v>
      </c>
      <c r="L119" s="16">
        <v>5</v>
      </c>
      <c r="M119" s="16">
        <v>2</v>
      </c>
      <c r="N119" s="16">
        <v>1</v>
      </c>
      <c r="O119" s="16"/>
      <c r="P119" s="16"/>
      <c r="Q119" s="19">
        <v>349</v>
      </c>
      <c r="R119" s="20">
        <v>45597</v>
      </c>
      <c r="S119" s="20">
        <v>41521</v>
      </c>
      <c r="T119" s="18">
        <v>123000</v>
      </c>
      <c r="U119" s="20">
        <v>41870</v>
      </c>
      <c r="V119" s="1"/>
    </row>
    <row r="120" spans="1:22" ht="24" customHeight="1">
      <c r="A120" s="1"/>
      <c r="B120" s="14" t="str">
        <f>HYPERLINK("https://www.compass.com/listing/160-10-89th-avenue-unit-8l-queens-ny-11432/546827133488819961/view?agent_id=610d3f3370540700019b0833","160-10 89th Ave, Unit 8L")</f>
        <v>160-10 89th Ave, Unit 8L</v>
      </c>
      <c r="C120" s="15" t="s">
        <v>37</v>
      </c>
      <c r="D120" s="16" t="s">
        <v>23</v>
      </c>
      <c r="E120" s="17" t="str">
        <f t="shared" si="9"/>
        <v>160-10 89th Ave</v>
      </c>
      <c r="F120" s="15" t="s">
        <v>24</v>
      </c>
      <c r="G120" s="18">
        <v>91695</v>
      </c>
      <c r="H120" s="18">
        <v>83</v>
      </c>
      <c r="I120" s="18">
        <v>0</v>
      </c>
      <c r="J120" s="18">
        <v>0</v>
      </c>
      <c r="K120" s="15" t="s">
        <v>28</v>
      </c>
      <c r="L120" s="16"/>
      <c r="M120" s="16">
        <v>2</v>
      </c>
      <c r="N120" s="16">
        <v>1</v>
      </c>
      <c r="O120" s="16"/>
      <c r="P120" s="21">
        <v>1100</v>
      </c>
      <c r="Q120" s="19"/>
      <c r="R120" s="20"/>
      <c r="S120" s="20"/>
      <c r="T120" s="18">
        <v>91695</v>
      </c>
      <c r="U120" s="20">
        <v>38239</v>
      </c>
      <c r="V120" s="1"/>
    </row>
    <row r="121" spans="1:22" ht="24" customHeight="1">
      <c r="A121" s="1"/>
      <c r="B121" s="14" t="str">
        <f>HYPERLINK("https://www.compass.com/listing/160-10-89th-avenue-unit-10k-queens-ny-11432/546827150517943225/view?agent_id=610d3f3370540700019b0833","160-10 89th Ave, Unit 10K")</f>
        <v>160-10 89th Ave, Unit 10K</v>
      </c>
      <c r="C121" s="15" t="s">
        <v>37</v>
      </c>
      <c r="D121" s="16" t="s">
        <v>23</v>
      </c>
      <c r="E121" s="17" t="str">
        <f t="shared" si="9"/>
        <v>160-10 89th Ave</v>
      </c>
      <c r="F121" s="15" t="s">
        <v>24</v>
      </c>
      <c r="G121" s="18">
        <v>107092</v>
      </c>
      <c r="H121" s="18">
        <v>122</v>
      </c>
      <c r="I121" s="18">
        <v>225</v>
      </c>
      <c r="J121" s="18">
        <v>2700</v>
      </c>
      <c r="K121" s="15" t="s">
        <v>28</v>
      </c>
      <c r="L121" s="16"/>
      <c r="M121" s="16">
        <v>2</v>
      </c>
      <c r="N121" s="16">
        <v>1</v>
      </c>
      <c r="O121" s="16"/>
      <c r="P121" s="16">
        <v>875</v>
      </c>
      <c r="Q121" s="19"/>
      <c r="R121" s="20"/>
      <c r="S121" s="20"/>
      <c r="T121" s="18">
        <v>107092</v>
      </c>
      <c r="U121" s="20">
        <v>38211</v>
      </c>
      <c r="V121" s="1"/>
    </row>
    <row r="122" spans="1:22" ht="24" customHeight="1">
      <c r="A122" s="1"/>
      <c r="B122" s="14" t="str">
        <f>HYPERLINK("https://www.compass.com/listing/175-45-88th-avenue-unit-5n-queens-ny-11432/546828624102348937/view?agent_id=610d3f3370540700019b0833","175-45 88th Ave, Unit 5N")</f>
        <v>175-45 88th Ave, Unit 5N</v>
      </c>
      <c r="C122" s="15" t="s">
        <v>37</v>
      </c>
      <c r="D122" s="16" t="s">
        <v>23</v>
      </c>
      <c r="E122" s="17" t="str">
        <f>HYPERLINK("https://www.compass.com/building/175-45-88th-ave-queens-ny-11432/293532280863901109/","175-45 88th Ave")</f>
        <v>175-45 88th Ave</v>
      </c>
      <c r="F122" s="15" t="s">
        <v>24</v>
      </c>
      <c r="G122" s="18">
        <v>138122</v>
      </c>
      <c r="H122" s="18"/>
      <c r="I122" s="18">
        <v>0</v>
      </c>
      <c r="J122" s="18">
        <v>0</v>
      </c>
      <c r="K122" s="15" t="s">
        <v>28</v>
      </c>
      <c r="L122" s="16"/>
      <c r="M122" s="16">
        <v>2</v>
      </c>
      <c r="N122" s="16">
        <v>1</v>
      </c>
      <c r="O122" s="16"/>
      <c r="P122" s="16"/>
      <c r="Q122" s="19"/>
      <c r="R122" s="20"/>
      <c r="S122" s="20"/>
      <c r="T122" s="18">
        <v>138122</v>
      </c>
      <c r="U122" s="20">
        <v>38251</v>
      </c>
      <c r="V122" s="1"/>
    </row>
    <row r="123" spans="1:22" ht="24" customHeight="1">
      <c r="A123" s="1"/>
      <c r="B123" s="14" t="str">
        <f>HYPERLINK("https://www.compass.com/listing/155-01-90th-avenue-unit-4l-queens-ny-11432/29128916379661009/view?agent_id=610d3f3370540700019b0833","155-01 90th Avenue, Unit 4L")</f>
        <v>155-01 90th Avenue, Unit 4L</v>
      </c>
      <c r="C123" s="15" t="s">
        <v>37</v>
      </c>
      <c r="D123" s="16" t="s">
        <v>23</v>
      </c>
      <c r="E123" s="17" t="str">
        <f>HYPERLINK("https://www.compass.com/building/155-01-90th-ave-queens-ny-11432/293533120169246997/","155-01 90th Ave")</f>
        <v>155-01 90th Ave</v>
      </c>
      <c r="F123" s="15" t="s">
        <v>24</v>
      </c>
      <c r="G123" s="18">
        <v>120666</v>
      </c>
      <c r="H123" s="18">
        <v>118</v>
      </c>
      <c r="I123" s="18">
        <v>0</v>
      </c>
      <c r="J123" s="18">
        <v>0</v>
      </c>
      <c r="K123" s="15" t="s">
        <v>28</v>
      </c>
      <c r="L123" s="16">
        <v>5</v>
      </c>
      <c r="M123" s="16">
        <v>2</v>
      </c>
      <c r="N123" s="16">
        <v>1</v>
      </c>
      <c r="O123" s="16"/>
      <c r="P123" s="21">
        <v>1025</v>
      </c>
      <c r="Q123" s="19">
        <v>23</v>
      </c>
      <c r="R123" s="20">
        <v>45616</v>
      </c>
      <c r="S123" s="20">
        <v>42058</v>
      </c>
      <c r="T123" s="18">
        <v>120666</v>
      </c>
      <c r="U123" s="20">
        <v>42174</v>
      </c>
      <c r="V123" s="1"/>
    </row>
    <row r="124" spans="1:22" ht="24" customHeight="1">
      <c r="A124" s="1"/>
      <c r="B124" s="14" t="str">
        <f>HYPERLINK("https://www.compass.com/listing/160-10-89th-avenue-unit-14e-queens-ny-11432/254345847469327729/view?agent_id=610d3f3370540700019b0833","160-10 89th Avenue, Unit 14E")</f>
        <v>160-10 89th Avenue, Unit 14E</v>
      </c>
      <c r="C124" s="15" t="s">
        <v>37</v>
      </c>
      <c r="D124" s="16" t="s">
        <v>23</v>
      </c>
      <c r="E124" s="17" t="str">
        <f t="shared" ref="E124:E125" si="10">HYPERLINK("https://www.compass.com/building/160-10-89th-ave-queens-ny-11432/293533475963683173/","160-10 89th Ave")</f>
        <v>160-10 89th Ave</v>
      </c>
      <c r="F124" s="15" t="s">
        <v>24</v>
      </c>
      <c r="G124" s="18">
        <v>170000</v>
      </c>
      <c r="H124" s="18"/>
      <c r="I124" s="18">
        <v>0</v>
      </c>
      <c r="J124" s="18">
        <v>0</v>
      </c>
      <c r="K124" s="15" t="s">
        <v>28</v>
      </c>
      <c r="L124" s="16">
        <v>4</v>
      </c>
      <c r="M124" s="16">
        <v>2</v>
      </c>
      <c r="N124" s="16">
        <v>1</v>
      </c>
      <c r="O124" s="16"/>
      <c r="P124" s="16"/>
      <c r="Q124" s="19">
        <v>67</v>
      </c>
      <c r="R124" s="20">
        <v>45617</v>
      </c>
      <c r="S124" s="20">
        <v>43602</v>
      </c>
      <c r="T124" s="18">
        <v>170000</v>
      </c>
      <c r="U124" s="20">
        <v>43888</v>
      </c>
      <c r="V124" s="1"/>
    </row>
    <row r="125" spans="1:22" ht="24" customHeight="1">
      <c r="A125" s="1"/>
      <c r="B125" s="14" t="str">
        <f>HYPERLINK("https://www.compass.com/listing/160-10-89th-avenue-unit-15l-queens-ny-11432/197754673791317265/view?agent_id=610d3f3370540700019b0833","160-10 89th Avenue, Unit 15L")</f>
        <v>160-10 89th Avenue, Unit 15L</v>
      </c>
      <c r="C125" s="15" t="s">
        <v>37</v>
      </c>
      <c r="D125" s="16" t="s">
        <v>23</v>
      </c>
      <c r="E125" s="17" t="str">
        <f t="shared" si="10"/>
        <v>160-10 89th Ave</v>
      </c>
      <c r="F125" s="15" t="s">
        <v>24</v>
      </c>
      <c r="G125" s="18">
        <v>185124</v>
      </c>
      <c r="H125" s="18"/>
      <c r="I125" s="18">
        <v>0</v>
      </c>
      <c r="J125" s="18">
        <v>0</v>
      </c>
      <c r="K125" s="15" t="s">
        <v>43</v>
      </c>
      <c r="L125" s="16">
        <v>5</v>
      </c>
      <c r="M125" s="16">
        <v>2</v>
      </c>
      <c r="N125" s="16">
        <v>1</v>
      </c>
      <c r="O125" s="16">
        <v>0</v>
      </c>
      <c r="P125" s="16"/>
      <c r="Q125" s="19">
        <v>716</v>
      </c>
      <c r="R125" s="20">
        <v>45623</v>
      </c>
      <c r="S125" s="20">
        <v>41752</v>
      </c>
      <c r="T125" s="18">
        <v>185124</v>
      </c>
      <c r="U125" s="20">
        <v>42612</v>
      </c>
      <c r="V125" s="1"/>
    </row>
    <row r="126" spans="1:22" ht="24" customHeight="1">
      <c r="A126" s="1"/>
      <c r="B126" s="14" t="str">
        <f>HYPERLINK("https://www.compass.com/listing/89-15-parsons-boulevard-unit-12n-queens-ny-11432/197775624926949345/view?agent_id=610d3f3370540700019b0833","89-15 Parsons Boulevard, Unit 12N")</f>
        <v>89-15 Parsons Boulevard, Unit 12N</v>
      </c>
      <c r="C126" s="15" t="s">
        <v>37</v>
      </c>
      <c r="D126" s="16" t="s">
        <v>23</v>
      </c>
      <c r="E126" s="17" t="str">
        <f t="shared" ref="E126:E128" si="11">HYPERLINK("https://www.compass.com/building/89-15-parsons-blvd-queens-ny-11432/293527323523755221/","89-15 Parsons Blvd")</f>
        <v>89-15 Parsons Blvd</v>
      </c>
      <c r="F126" s="15" t="s">
        <v>24</v>
      </c>
      <c r="G126" s="18">
        <v>200000</v>
      </c>
      <c r="H126" s="18"/>
      <c r="I126" s="18">
        <v>0</v>
      </c>
      <c r="J126" s="18">
        <v>0</v>
      </c>
      <c r="K126" s="15" t="s">
        <v>28</v>
      </c>
      <c r="L126" s="16">
        <v>5</v>
      </c>
      <c r="M126" s="16">
        <v>2</v>
      </c>
      <c r="N126" s="16">
        <v>1</v>
      </c>
      <c r="O126" s="16"/>
      <c r="P126" s="16"/>
      <c r="Q126" s="19">
        <v>125</v>
      </c>
      <c r="R126" s="20">
        <v>45617</v>
      </c>
      <c r="S126" s="20">
        <v>43312</v>
      </c>
      <c r="T126" s="18">
        <v>200000</v>
      </c>
      <c r="U126" s="20">
        <v>43615</v>
      </c>
      <c r="V126" s="1"/>
    </row>
    <row r="127" spans="1:22" ht="24" customHeight="1">
      <c r="A127" s="1"/>
      <c r="B127" s="14" t="str">
        <f>HYPERLINK("https://www.compass.com/listing/89-15-parsons-boulevard-unit-2n-queens-ny-11432/29128930044707169/view?agent_id=610d3f3370540700019b0833","89-15 Parsons Boulevard, Unit 2N")</f>
        <v>89-15 Parsons Boulevard, Unit 2N</v>
      </c>
      <c r="C127" s="15" t="s">
        <v>37</v>
      </c>
      <c r="D127" s="16" t="s">
        <v>23</v>
      </c>
      <c r="E127" s="17" t="str">
        <f t="shared" si="11"/>
        <v>89-15 Parsons Blvd</v>
      </c>
      <c r="F127" s="15" t="s">
        <v>24</v>
      </c>
      <c r="G127" s="18">
        <v>145000</v>
      </c>
      <c r="H127" s="18">
        <v>149</v>
      </c>
      <c r="I127" s="18">
        <v>0</v>
      </c>
      <c r="J127" s="18">
        <v>0</v>
      </c>
      <c r="K127" s="15" t="s">
        <v>44</v>
      </c>
      <c r="L127" s="16">
        <v>5</v>
      </c>
      <c r="M127" s="16">
        <v>2</v>
      </c>
      <c r="N127" s="16">
        <v>1</v>
      </c>
      <c r="O127" s="16">
        <v>0</v>
      </c>
      <c r="P127" s="16">
        <v>975</v>
      </c>
      <c r="Q127" s="19">
        <v>102</v>
      </c>
      <c r="R127" s="20">
        <v>45616</v>
      </c>
      <c r="S127" s="20">
        <v>42075</v>
      </c>
      <c r="T127" s="18">
        <v>145000</v>
      </c>
      <c r="U127" s="20">
        <v>42325</v>
      </c>
      <c r="V127" s="1"/>
    </row>
    <row r="128" spans="1:22" ht="24" customHeight="1">
      <c r="A128" s="1"/>
      <c r="B128" s="14" t="str">
        <f>HYPERLINK("https://www.compass.com/listing/89-15-parsons-boulevard-unit-9g-queens-ny-11432/29128929415585793/view?agent_id=610d3f3370540700019b0833","89-15 Parsons Blvd, Unit 9G")</f>
        <v>89-15 Parsons Blvd, Unit 9G</v>
      </c>
      <c r="C128" s="15" t="s">
        <v>37</v>
      </c>
      <c r="D128" s="16" t="s">
        <v>23</v>
      </c>
      <c r="E128" s="17" t="str">
        <f t="shared" si="11"/>
        <v>89-15 Parsons Blvd</v>
      </c>
      <c r="F128" s="15" t="s">
        <v>24</v>
      </c>
      <c r="G128" s="18">
        <v>195962</v>
      </c>
      <c r="H128" s="18"/>
      <c r="I128" s="18">
        <v>0</v>
      </c>
      <c r="J128" s="18">
        <v>0</v>
      </c>
      <c r="K128" s="15" t="s">
        <v>28</v>
      </c>
      <c r="L128" s="16"/>
      <c r="M128" s="16">
        <v>2</v>
      </c>
      <c r="N128" s="16">
        <v>1</v>
      </c>
      <c r="O128" s="16"/>
      <c r="P128" s="16"/>
      <c r="Q128" s="19"/>
      <c r="R128" s="20"/>
      <c r="S128" s="20"/>
      <c r="T128" s="18">
        <v>195962</v>
      </c>
      <c r="U128" s="20">
        <v>42703</v>
      </c>
      <c r="V128" s="1"/>
    </row>
    <row r="129" spans="1:22" ht="24" customHeight="1">
      <c r="A129" s="1"/>
      <c r="B129" s="14" t="str">
        <f>HYPERLINK("https://www.compass.com/listing/175-45-88th-avenue-unit-6o-queens-ny-11432/29129305250374721/view?agent_id=610d3f3370540700019b0833","175-45 88th Ave, Unit 6O")</f>
        <v>175-45 88th Ave, Unit 6O</v>
      </c>
      <c r="C129" s="15" t="s">
        <v>37</v>
      </c>
      <c r="D129" s="16" t="s">
        <v>23</v>
      </c>
      <c r="E129" s="17" t="str">
        <f>HYPERLINK("https://www.compass.com/building/175-45-88th-ave-queens-ny-11432/293532280863901109/","175-45 88th Ave")</f>
        <v>175-45 88th Ave</v>
      </c>
      <c r="F129" s="15" t="s">
        <v>24</v>
      </c>
      <c r="G129" s="18">
        <v>193390</v>
      </c>
      <c r="H129" s="18"/>
      <c r="I129" s="18">
        <v>0</v>
      </c>
      <c r="J129" s="18">
        <v>0</v>
      </c>
      <c r="K129" s="15" t="s">
        <v>28</v>
      </c>
      <c r="L129" s="16"/>
      <c r="M129" s="16">
        <v>2</v>
      </c>
      <c r="N129" s="16">
        <v>1</v>
      </c>
      <c r="O129" s="16"/>
      <c r="P129" s="16"/>
      <c r="Q129" s="19"/>
      <c r="R129" s="20"/>
      <c r="S129" s="20"/>
      <c r="T129" s="18">
        <v>193390</v>
      </c>
      <c r="U129" s="20">
        <v>39653</v>
      </c>
      <c r="V129" s="1"/>
    </row>
    <row r="130" spans="1:22" ht="24" customHeight="1">
      <c r="A130" s="1"/>
      <c r="B130" s="14" t="str">
        <f>HYPERLINK("https://www.compass.com/listing/160-10-89th-avenue-unit-4e-queens-ny-11432/328837565536500609/view?agent_id=610d3f3370540700019b0833","160-10 89th Ave, Unit 4E")</f>
        <v>160-10 89th Ave, Unit 4E</v>
      </c>
      <c r="C130" s="15" t="s">
        <v>37</v>
      </c>
      <c r="D130" s="16" t="s">
        <v>23</v>
      </c>
      <c r="E130" s="17" t="str">
        <f t="shared" ref="E130:E131" si="12">HYPERLINK("https://www.compass.com/building/160-10-89th-ave-queens-ny-11432/293533475963683173/","160-10 89th Ave")</f>
        <v>160-10 89th Ave</v>
      </c>
      <c r="F130" s="15" t="s">
        <v>24</v>
      </c>
      <c r="G130" s="18">
        <v>220000</v>
      </c>
      <c r="H130" s="18"/>
      <c r="I130" s="18">
        <v>0</v>
      </c>
      <c r="J130" s="18">
        <v>0</v>
      </c>
      <c r="K130" s="15" t="s">
        <v>28</v>
      </c>
      <c r="L130" s="16"/>
      <c r="M130" s="16">
        <v>2</v>
      </c>
      <c r="N130" s="16">
        <v>1</v>
      </c>
      <c r="O130" s="16"/>
      <c r="P130" s="16"/>
      <c r="Q130" s="19"/>
      <c r="R130" s="20"/>
      <c r="S130" s="20"/>
      <c r="T130" s="18">
        <v>220000</v>
      </c>
      <c r="U130" s="20">
        <v>43529</v>
      </c>
      <c r="V130" s="1"/>
    </row>
    <row r="131" spans="1:22" ht="24" customHeight="1">
      <c r="A131" s="1"/>
      <c r="B131" s="14" t="str">
        <f>HYPERLINK("https://www.compass.com/listing/160-10-89th-avenue-unit-7l-queens-ny-11432/312987740056437313/view?agent_id=610d3f3370540700019b0833","160-10 89th Avenue, Unit 7L")</f>
        <v>160-10 89th Avenue, Unit 7L</v>
      </c>
      <c r="C131" s="15" t="s">
        <v>37</v>
      </c>
      <c r="D131" s="16" t="s">
        <v>23</v>
      </c>
      <c r="E131" s="17" t="str">
        <f t="shared" si="12"/>
        <v>160-10 89th Ave</v>
      </c>
      <c r="F131" s="15" t="s">
        <v>24</v>
      </c>
      <c r="G131" s="18">
        <v>200000</v>
      </c>
      <c r="H131" s="18"/>
      <c r="I131" s="18">
        <v>0</v>
      </c>
      <c r="J131" s="18">
        <v>0</v>
      </c>
      <c r="K131" s="15" t="s">
        <v>28</v>
      </c>
      <c r="L131" s="16">
        <v>4</v>
      </c>
      <c r="M131" s="16">
        <v>2</v>
      </c>
      <c r="N131" s="16">
        <v>1</v>
      </c>
      <c r="O131" s="16"/>
      <c r="P131" s="16"/>
      <c r="Q131" s="19">
        <v>29</v>
      </c>
      <c r="R131" s="20">
        <v>45628</v>
      </c>
      <c r="S131" s="20">
        <v>43682</v>
      </c>
      <c r="T131" s="18">
        <v>200000</v>
      </c>
      <c r="U131" s="20">
        <v>43899</v>
      </c>
      <c r="V131" s="1"/>
    </row>
    <row r="132" spans="1:22" ht="24" customHeight="1">
      <c r="A132" s="1"/>
      <c r="B132" s="14" t="str">
        <f>HYPERLINK("https://www.compass.com/listing/89-15-parsons-boulevard-unit-9gw-queens-ny-11432/760820485640245289/view?agent_id=610d3f3370540700019b0833","89-15 Parsons Boulevard, Unit 9GW")</f>
        <v>89-15 Parsons Boulevard, Unit 9GW</v>
      </c>
      <c r="C132" s="15" t="s">
        <v>37</v>
      </c>
      <c r="D132" s="16" t="s">
        <v>23</v>
      </c>
      <c r="E132" s="17" t="str">
        <f>HYPERLINK("https://www.compass.com/building/89-15-parsons-blvd-queens-ny-11432/293527323523755221/","89-15 Parsons Blvd")</f>
        <v>89-15 Parsons Blvd</v>
      </c>
      <c r="F132" s="15" t="s">
        <v>24</v>
      </c>
      <c r="G132" s="18">
        <v>230000</v>
      </c>
      <c r="H132" s="18">
        <v>209</v>
      </c>
      <c r="I132" s="18">
        <v>0</v>
      </c>
      <c r="J132" s="18">
        <v>0</v>
      </c>
      <c r="K132" s="15" t="s">
        <v>28</v>
      </c>
      <c r="L132" s="16">
        <v>4</v>
      </c>
      <c r="M132" s="16">
        <v>2</v>
      </c>
      <c r="N132" s="16">
        <v>1</v>
      </c>
      <c r="O132" s="16"/>
      <c r="P132" s="21">
        <v>1100</v>
      </c>
      <c r="Q132" s="19">
        <v>104</v>
      </c>
      <c r="R132" s="20">
        <v>45617</v>
      </c>
      <c r="S132" s="20">
        <v>44300</v>
      </c>
      <c r="T132" s="18">
        <v>230000</v>
      </c>
      <c r="U132" s="20">
        <v>44589</v>
      </c>
      <c r="V132" s="1"/>
    </row>
    <row r="133" spans="1:22" ht="24" customHeight="1">
      <c r="A133" s="1"/>
      <c r="B133" s="14" t="str">
        <f>HYPERLINK("https://www.compass.com/listing/175-45-88th-avenue-unit-5h-queens-ny-11432/197750507069051297/view?agent_id=610d3f3370540700019b0833","175-45 88th Avenue, Unit 5H")</f>
        <v>175-45 88th Avenue, Unit 5H</v>
      </c>
      <c r="C133" s="15" t="s">
        <v>37</v>
      </c>
      <c r="D133" s="16" t="s">
        <v>23</v>
      </c>
      <c r="E133" s="17" t="str">
        <f>HYPERLINK("https://www.compass.com/building/175-45-88th-ave-queens-ny-11432/293532280863901109/","175-45 88th Ave")</f>
        <v>175-45 88th Ave</v>
      </c>
      <c r="F133" s="15" t="s">
        <v>24</v>
      </c>
      <c r="G133" s="18">
        <v>165000</v>
      </c>
      <c r="H133" s="18">
        <v>183</v>
      </c>
      <c r="I133" s="18">
        <v>0</v>
      </c>
      <c r="J133" s="18">
        <v>0</v>
      </c>
      <c r="K133" s="15" t="s">
        <v>44</v>
      </c>
      <c r="L133" s="16">
        <v>5</v>
      </c>
      <c r="M133" s="16">
        <v>2</v>
      </c>
      <c r="N133" s="16">
        <v>1</v>
      </c>
      <c r="O133" s="16">
        <v>0</v>
      </c>
      <c r="P133" s="16">
        <v>900</v>
      </c>
      <c r="Q133" s="19">
        <v>62</v>
      </c>
      <c r="R133" s="20">
        <v>45617</v>
      </c>
      <c r="S133" s="20">
        <v>42230</v>
      </c>
      <c r="T133" s="18">
        <v>165000</v>
      </c>
      <c r="U133" s="20">
        <v>42331</v>
      </c>
      <c r="V133" s="1"/>
    </row>
    <row r="134" spans="1:22" ht="24" customHeight="1">
      <c r="A134" s="1"/>
      <c r="B134" s="14" t="str">
        <f>HYPERLINK("https://www.compass.com/listing/89-00-170th-street-unit-8d-queens-ny-11432/29129126556241713/view?agent_id=610d3f3370540700019b0833","89-00 170th Street, Unit 8D")</f>
        <v>89-00 170th Street, Unit 8D</v>
      </c>
      <c r="C134" s="15" t="s">
        <v>37</v>
      </c>
      <c r="D134" s="16" t="s">
        <v>23</v>
      </c>
      <c r="E134" s="17" t="str">
        <f>HYPERLINK("https://www.compass.com/building/89-00-170th-st-queens-ny-11432/307449656485080949/","89-00 170th St")</f>
        <v>89-00 170th St</v>
      </c>
      <c r="F134" s="15" t="s">
        <v>24</v>
      </c>
      <c r="G134" s="18">
        <v>175000</v>
      </c>
      <c r="H134" s="18">
        <v>219</v>
      </c>
      <c r="I134" s="18">
        <v>42</v>
      </c>
      <c r="J134" s="18">
        <v>500</v>
      </c>
      <c r="K134" s="15" t="s">
        <v>43</v>
      </c>
      <c r="L134" s="16">
        <v>5</v>
      </c>
      <c r="M134" s="16">
        <v>2</v>
      </c>
      <c r="N134" s="16">
        <v>1</v>
      </c>
      <c r="O134" s="16">
        <v>0</v>
      </c>
      <c r="P134" s="16">
        <v>800</v>
      </c>
      <c r="Q134" s="19">
        <v>169</v>
      </c>
      <c r="R134" s="20">
        <v>45625</v>
      </c>
      <c r="S134" s="20">
        <v>42522</v>
      </c>
      <c r="T134" s="18">
        <v>175000</v>
      </c>
      <c r="U134" s="20">
        <v>42830</v>
      </c>
      <c r="V134" s="1"/>
    </row>
    <row r="135" spans="1:22" ht="24" customHeight="1">
      <c r="A135" s="1"/>
      <c r="B135" s="14" t="str">
        <f>HYPERLINK("https://www.compass.com/listing/155-01-90th-avenue-unit-2c-queens-ny-11432/1730802121562959681/view?agent_id=610d3f3370540700019b0833","155-01 90th Avenue, Unit 2C")</f>
        <v>155-01 90th Avenue, Unit 2C</v>
      </c>
      <c r="C135" s="15" t="s">
        <v>37</v>
      </c>
      <c r="D135" s="16" t="s">
        <v>23</v>
      </c>
      <c r="E135" s="17" t="str">
        <f>HYPERLINK("https://www.compass.com/building/155-01-90th-ave-queens-ny-11432/293533120169246997/","155-01 90th Ave")</f>
        <v>155-01 90th Ave</v>
      </c>
      <c r="F135" s="15" t="s">
        <v>24</v>
      </c>
      <c r="G135" s="18">
        <v>260000</v>
      </c>
      <c r="H135" s="18"/>
      <c r="I135" s="18">
        <v>0</v>
      </c>
      <c r="J135" s="18">
        <v>0</v>
      </c>
      <c r="K135" s="15" t="s">
        <v>28</v>
      </c>
      <c r="L135" s="16">
        <v>5</v>
      </c>
      <c r="M135" s="16">
        <v>2</v>
      </c>
      <c r="N135" s="16">
        <v>1</v>
      </c>
      <c r="O135" s="16"/>
      <c r="P135" s="16"/>
      <c r="Q135" s="19">
        <v>471</v>
      </c>
      <c r="R135" s="20">
        <v>45617</v>
      </c>
      <c r="S135" s="20">
        <v>43900</v>
      </c>
      <c r="T135" s="18">
        <v>260000</v>
      </c>
      <c r="U135" s="20">
        <v>44559</v>
      </c>
      <c r="V135" s="1"/>
    </row>
    <row r="136" spans="1:22" ht="24" customHeight="1">
      <c r="A136" s="1"/>
      <c r="B136" s="14" t="str">
        <f>HYPERLINK("https://www.compass.com/listing/160-10-89th-avenue-unit-1l-queens-ny-11432/197769549955791217/view?agent_id=610d3f3370540700019b0833","160-10 89th Avenue, Unit 1L")</f>
        <v>160-10 89th Avenue, Unit 1L</v>
      </c>
      <c r="C136" s="15" t="s">
        <v>37</v>
      </c>
      <c r="D136" s="16" t="s">
        <v>23</v>
      </c>
      <c r="E136" s="17" t="str">
        <f>HYPERLINK("https://www.compass.com/building/160-10-89th-ave-queens-ny-11432/293533475963683173/","160-10 89th Ave")</f>
        <v>160-10 89th Ave</v>
      </c>
      <c r="F136" s="15" t="s">
        <v>24</v>
      </c>
      <c r="G136" s="18">
        <v>200000</v>
      </c>
      <c r="H136" s="18"/>
      <c r="I136" s="18">
        <v>0</v>
      </c>
      <c r="J136" s="18">
        <v>0</v>
      </c>
      <c r="K136" s="15" t="s">
        <v>28</v>
      </c>
      <c r="L136" s="16">
        <v>5</v>
      </c>
      <c r="M136" s="16">
        <v>2</v>
      </c>
      <c r="N136" s="16">
        <v>1</v>
      </c>
      <c r="O136" s="16"/>
      <c r="P136" s="16"/>
      <c r="Q136" s="19">
        <v>143</v>
      </c>
      <c r="R136" s="20">
        <v>45627</v>
      </c>
      <c r="S136" s="20">
        <v>43178</v>
      </c>
      <c r="T136" s="18">
        <v>200000</v>
      </c>
      <c r="U136" s="20">
        <v>43402</v>
      </c>
      <c r="V136" s="1"/>
    </row>
    <row r="137" spans="1:22" ht="24" customHeight="1">
      <c r="A137" s="1"/>
      <c r="B137" s="14" t="str">
        <f>HYPERLINK("https://www.compass.com/listing/89-15-parsons-boulevard-unit-12f-queens-ny-11432/1730716411916955665/view?agent_id=610d3f3370540700019b0833","89-15 Parsons Boulevard, Unit 12F")</f>
        <v>89-15 Parsons Boulevard, Unit 12F</v>
      </c>
      <c r="C137" s="15" t="s">
        <v>37</v>
      </c>
      <c r="D137" s="16" t="s">
        <v>23</v>
      </c>
      <c r="E137" s="17" t="str">
        <f>HYPERLINK("https://www.compass.com/building/89-15-parsons-blvd-queens-ny-11432/293527323523755221/","89-15 Parsons Blvd")</f>
        <v>89-15 Parsons Blvd</v>
      </c>
      <c r="F137" s="15" t="s">
        <v>24</v>
      </c>
      <c r="G137" s="18">
        <v>190000</v>
      </c>
      <c r="H137" s="18"/>
      <c r="I137" s="18">
        <v>0</v>
      </c>
      <c r="J137" s="18">
        <v>0</v>
      </c>
      <c r="K137" s="15" t="s">
        <v>44</v>
      </c>
      <c r="L137" s="16">
        <v>5</v>
      </c>
      <c r="M137" s="16">
        <v>2</v>
      </c>
      <c r="N137" s="16">
        <v>1</v>
      </c>
      <c r="O137" s="16">
        <v>0</v>
      </c>
      <c r="P137" s="16"/>
      <c r="Q137" s="19">
        <v>275</v>
      </c>
      <c r="R137" s="20">
        <v>45617</v>
      </c>
      <c r="S137" s="20">
        <v>41939</v>
      </c>
      <c r="T137" s="18">
        <v>190000</v>
      </c>
      <c r="U137" s="20">
        <v>42384</v>
      </c>
      <c r="V137" s="1"/>
    </row>
    <row r="138" spans="1:22" ht="24" customHeight="1">
      <c r="A138" s="1"/>
      <c r="B138" s="14" t="str">
        <f>HYPERLINK("https://www.compass.com/listing/160-10-89th-avenue-unit-8l-queens-ny-11432/351181930913222769/view?agent_id=610d3f3370540700019b0833","160-10 89th Avenue, Unit 8L")</f>
        <v>160-10 89th Avenue, Unit 8L</v>
      </c>
      <c r="C138" s="15" t="s">
        <v>37</v>
      </c>
      <c r="D138" s="16" t="s">
        <v>23</v>
      </c>
      <c r="E138" s="17" t="str">
        <f t="shared" ref="E138:E139" si="13">HYPERLINK("https://www.compass.com/building/160-10-89th-ave-queens-ny-11432/293533475963683173/","160-10 89th Ave")</f>
        <v>160-10 89th Ave</v>
      </c>
      <c r="F138" s="15" t="s">
        <v>24</v>
      </c>
      <c r="G138" s="18">
        <v>262000</v>
      </c>
      <c r="H138" s="18">
        <v>228</v>
      </c>
      <c r="I138" s="18">
        <v>0</v>
      </c>
      <c r="J138" s="18">
        <v>0</v>
      </c>
      <c r="K138" s="15" t="s">
        <v>28</v>
      </c>
      <c r="L138" s="16">
        <v>5</v>
      </c>
      <c r="M138" s="16">
        <v>2</v>
      </c>
      <c r="N138" s="16">
        <v>1</v>
      </c>
      <c r="O138" s="16"/>
      <c r="P138" s="21">
        <v>1150</v>
      </c>
      <c r="Q138" s="19">
        <v>21</v>
      </c>
      <c r="R138" s="20">
        <v>45617</v>
      </c>
      <c r="S138" s="20">
        <v>43735</v>
      </c>
      <c r="T138" s="18">
        <v>262000</v>
      </c>
      <c r="U138" s="20">
        <v>44076</v>
      </c>
      <c r="V138" s="1"/>
    </row>
    <row r="139" spans="1:22" ht="24" customHeight="1">
      <c r="A139" s="1"/>
      <c r="B139" s="14" t="str">
        <f>HYPERLINK("https://www.compass.com/listing/160-10-89th-avenue-unit-7k-queens-ny-11432/1617556673092222009/view?agent_id=610d3f3370540700019b0833","160-10 89th Avenue, Unit 7K")</f>
        <v>160-10 89th Avenue, Unit 7K</v>
      </c>
      <c r="C139" s="15" t="s">
        <v>37</v>
      </c>
      <c r="D139" s="16" t="s">
        <v>23</v>
      </c>
      <c r="E139" s="17" t="str">
        <f t="shared" si="13"/>
        <v>160-10 89th Ave</v>
      </c>
      <c r="F139" s="15" t="s">
        <v>24</v>
      </c>
      <c r="G139" s="18">
        <v>260000</v>
      </c>
      <c r="H139" s="18"/>
      <c r="I139" s="18">
        <v>1401</v>
      </c>
      <c r="J139" s="18">
        <v>0</v>
      </c>
      <c r="K139" s="15" t="s">
        <v>28</v>
      </c>
      <c r="L139" s="16">
        <v>6</v>
      </c>
      <c r="M139" s="16">
        <v>2</v>
      </c>
      <c r="N139" s="16">
        <v>1</v>
      </c>
      <c r="O139" s="16"/>
      <c r="P139" s="16"/>
      <c r="Q139" s="19">
        <v>57</v>
      </c>
      <c r="R139" s="20">
        <v>45689</v>
      </c>
      <c r="S139" s="20">
        <v>45483</v>
      </c>
      <c r="T139" s="18">
        <v>260000</v>
      </c>
      <c r="U139" s="20">
        <v>45686</v>
      </c>
      <c r="V139" s="1"/>
    </row>
    <row r="140" spans="1:22" ht="24" customHeight="1">
      <c r="A140" s="1"/>
      <c r="B140" s="14" t="str">
        <f>HYPERLINK("https://www.compass.com/listing/89-15-parsons-boulevard-unit-7g-queens-ny-11432/869906700027374177/view?agent_id=610d3f3370540700019b0833","89-15 Parsons Boulevard, Unit 7G")</f>
        <v>89-15 Parsons Boulevard, Unit 7G</v>
      </c>
      <c r="C140" s="15" t="s">
        <v>37</v>
      </c>
      <c r="D140" s="16" t="s">
        <v>23</v>
      </c>
      <c r="E140" s="17" t="str">
        <f>HYPERLINK("https://www.compass.com/building/89-15-parsons-blvd-queens-ny-11432/293527323523755221/","89-15 Parsons Blvd")</f>
        <v>89-15 Parsons Blvd</v>
      </c>
      <c r="F140" s="15" t="s">
        <v>24</v>
      </c>
      <c r="G140" s="18">
        <v>225000</v>
      </c>
      <c r="H140" s="18"/>
      <c r="I140" s="18">
        <v>328</v>
      </c>
      <c r="J140" s="18">
        <v>3941</v>
      </c>
      <c r="K140" s="15" t="s">
        <v>28</v>
      </c>
      <c r="L140" s="16">
        <v>5</v>
      </c>
      <c r="M140" s="16">
        <v>2</v>
      </c>
      <c r="N140" s="16">
        <v>1</v>
      </c>
      <c r="O140" s="16"/>
      <c r="P140" s="16"/>
      <c r="Q140" s="19">
        <v>232</v>
      </c>
      <c r="R140" s="20">
        <v>45631</v>
      </c>
      <c r="S140" s="20">
        <v>44451</v>
      </c>
      <c r="T140" s="18">
        <v>225000</v>
      </c>
      <c r="U140" s="20">
        <v>44854</v>
      </c>
      <c r="V140" s="1"/>
    </row>
    <row r="141" spans="1:22" ht="24" customHeight="1">
      <c r="A141" s="1"/>
      <c r="B141" s="14" t="str">
        <f>HYPERLINK("https://www.compass.com/listing/160-10-89th-avenue-unit-15e-queens-ny-11432/1218445328710008801/view?agent_id=610d3f3370540700019b0833","160-10 89th Avenue, Unit 15E")</f>
        <v>160-10 89th Avenue, Unit 15E</v>
      </c>
      <c r="C141" s="15" t="s">
        <v>37</v>
      </c>
      <c r="D141" s="16" t="s">
        <v>23</v>
      </c>
      <c r="E141" s="17" t="str">
        <f t="shared" ref="E141:E142" si="14">HYPERLINK("https://www.compass.com/building/160-10-89th-ave-queens-ny-11432/293533475963683173/","160-10 89th Ave")</f>
        <v>160-10 89th Ave</v>
      </c>
      <c r="F141" s="15" t="s">
        <v>24</v>
      </c>
      <c r="G141" s="18">
        <v>250000</v>
      </c>
      <c r="H141" s="18"/>
      <c r="I141" s="18">
        <v>0</v>
      </c>
      <c r="J141" s="18">
        <v>0</v>
      </c>
      <c r="K141" s="15" t="s">
        <v>28</v>
      </c>
      <c r="L141" s="16">
        <v>4</v>
      </c>
      <c r="M141" s="16">
        <v>2</v>
      </c>
      <c r="N141" s="16">
        <v>1</v>
      </c>
      <c r="O141" s="16"/>
      <c r="P141" s="16"/>
      <c r="Q141" s="19">
        <v>56</v>
      </c>
      <c r="R141" s="20">
        <v>45617</v>
      </c>
      <c r="S141" s="20">
        <v>44932</v>
      </c>
      <c r="T141" s="18">
        <v>250000</v>
      </c>
      <c r="U141" s="20">
        <v>45159</v>
      </c>
      <c r="V141" s="1"/>
    </row>
    <row r="142" spans="1:22" ht="24" customHeight="1">
      <c r="A142" s="1"/>
      <c r="B142" s="14" t="str">
        <f>HYPERLINK("https://www.compass.com/listing/160-10-89th-avenue-unit-3e-queens-ny-11432/937125422388239169/view?agent_id=610d3f3370540700019b0833","160-10 89th Avenue, Unit 3E")</f>
        <v>160-10 89th Avenue, Unit 3E</v>
      </c>
      <c r="C142" s="15" t="s">
        <v>37</v>
      </c>
      <c r="D142" s="16" t="s">
        <v>23</v>
      </c>
      <c r="E142" s="17" t="str">
        <f t="shared" si="14"/>
        <v>160-10 89th Ave</v>
      </c>
      <c r="F142" s="15" t="s">
        <v>24</v>
      </c>
      <c r="G142" s="18">
        <v>210000</v>
      </c>
      <c r="H142" s="18">
        <v>191</v>
      </c>
      <c r="I142" s="18">
        <v>333</v>
      </c>
      <c r="J142" s="18">
        <v>4000</v>
      </c>
      <c r="K142" s="15" t="s">
        <v>28</v>
      </c>
      <c r="L142" s="16">
        <v>5</v>
      </c>
      <c r="M142" s="16">
        <v>2</v>
      </c>
      <c r="N142" s="16">
        <v>1</v>
      </c>
      <c r="O142" s="16"/>
      <c r="P142" s="21">
        <v>1100</v>
      </c>
      <c r="Q142" s="19">
        <v>83</v>
      </c>
      <c r="R142" s="20">
        <v>45617</v>
      </c>
      <c r="S142" s="20">
        <v>44544</v>
      </c>
      <c r="T142" s="18">
        <v>210000</v>
      </c>
      <c r="U142" s="20">
        <v>44893</v>
      </c>
      <c r="V142" s="1"/>
    </row>
    <row r="143" spans="1:22" ht="24" customHeight="1">
      <c r="A143" s="1"/>
      <c r="B143" s="14" t="str">
        <f>HYPERLINK("https://www.compass.com/listing/88-20-parsons-boulevard-unit-3c-queens-ny-11432/1793911344792574105/view?agent_id=610d3f3370540700019b0833","88-20 Parsons Boulevard, Unit 3C")</f>
        <v>88-20 Parsons Boulevard, Unit 3C</v>
      </c>
      <c r="C143" s="15" t="s">
        <v>37</v>
      </c>
      <c r="D143" s="16" t="s">
        <v>23</v>
      </c>
      <c r="E143" s="17" t="str">
        <f>HYPERLINK("https://www.compass.com/building/88-20-parsons-blvd-queens-ny-11432/293417511444079413/","88-20 Parsons Blvd")</f>
        <v>88-20 Parsons Blvd</v>
      </c>
      <c r="F143" s="15" t="s">
        <v>24</v>
      </c>
      <c r="G143" s="18">
        <v>485000</v>
      </c>
      <c r="H143" s="18">
        <v>606</v>
      </c>
      <c r="I143" s="18">
        <v>1075</v>
      </c>
      <c r="J143" s="18">
        <v>7517</v>
      </c>
      <c r="K143" s="15" t="s">
        <v>25</v>
      </c>
      <c r="L143" s="16">
        <v>6</v>
      </c>
      <c r="M143" s="16">
        <v>2</v>
      </c>
      <c r="N143" s="16">
        <v>1</v>
      </c>
      <c r="O143" s="16"/>
      <c r="P143" s="16">
        <v>800</v>
      </c>
      <c r="Q143" s="19">
        <v>37</v>
      </c>
      <c r="R143" s="20">
        <v>45818</v>
      </c>
      <c r="S143" s="20">
        <v>45726</v>
      </c>
      <c r="T143" s="18">
        <v>485000</v>
      </c>
      <c r="U143" s="20">
        <v>45810</v>
      </c>
      <c r="V143" s="1"/>
    </row>
    <row r="144" spans="1:22" ht="24" customHeight="1">
      <c r="A144" s="1"/>
      <c r="B144" s="14" t="str">
        <f>HYPERLINK("https://www.compass.com/listing/89-15-parsons-boulevard-unit-11g-queens-ny-11432/29128929046462801/view?agent_id=610d3f3370540700019b0833","89-15 Parsons Boulevard, Unit 11G")</f>
        <v>89-15 Parsons Boulevard, Unit 11G</v>
      </c>
      <c r="C144" s="15" t="s">
        <v>37</v>
      </c>
      <c r="D144" s="16" t="s">
        <v>23</v>
      </c>
      <c r="E144" s="17" t="str">
        <f t="shared" ref="E144:E145" si="15">HYPERLINK("https://www.compass.com/building/89-15-parsons-blvd-queens-ny-11432/293527323523755221/","89-15 Parsons Blvd")</f>
        <v>89-15 Parsons Blvd</v>
      </c>
      <c r="F144" s="15" t="s">
        <v>24</v>
      </c>
      <c r="G144" s="18">
        <v>180000</v>
      </c>
      <c r="H144" s="18"/>
      <c r="I144" s="18">
        <v>0</v>
      </c>
      <c r="J144" s="18">
        <v>0</v>
      </c>
      <c r="K144" s="15" t="s">
        <v>28</v>
      </c>
      <c r="L144" s="16">
        <v>5</v>
      </c>
      <c r="M144" s="16">
        <v>2</v>
      </c>
      <c r="N144" s="16">
        <v>1</v>
      </c>
      <c r="O144" s="16"/>
      <c r="P144" s="16"/>
      <c r="Q144" s="19">
        <v>167</v>
      </c>
      <c r="R144" s="20">
        <v>45617</v>
      </c>
      <c r="S144" s="20">
        <v>42851</v>
      </c>
      <c r="T144" s="18">
        <v>180000</v>
      </c>
      <c r="U144" s="20">
        <v>43199</v>
      </c>
      <c r="V144" s="1"/>
    </row>
    <row r="145" spans="1:22" ht="24" customHeight="1">
      <c r="A145" s="1"/>
      <c r="B145" s="14" t="str">
        <f>HYPERLINK("https://www.compass.com/listing/89-15-parsons-boulevard-unit-5h-queens-ny-11432/1519800689150486793/view?agent_id=610d3f3370540700019b0833","89-15 Parsons Boulevard, Unit 5H")</f>
        <v>89-15 Parsons Boulevard, Unit 5H</v>
      </c>
      <c r="C145" s="15" t="s">
        <v>37</v>
      </c>
      <c r="D145" s="16" t="s">
        <v>23</v>
      </c>
      <c r="E145" s="17" t="str">
        <f t="shared" si="15"/>
        <v>89-15 Parsons Blvd</v>
      </c>
      <c r="F145" s="15" t="s">
        <v>24</v>
      </c>
      <c r="G145" s="18">
        <v>255000</v>
      </c>
      <c r="H145" s="18">
        <v>378</v>
      </c>
      <c r="I145" s="18">
        <v>1225</v>
      </c>
      <c r="J145" s="18">
        <v>0</v>
      </c>
      <c r="K145" s="15" t="s">
        <v>28</v>
      </c>
      <c r="L145" s="16">
        <v>4</v>
      </c>
      <c r="M145" s="16">
        <v>2</v>
      </c>
      <c r="N145" s="16">
        <v>1</v>
      </c>
      <c r="O145" s="16"/>
      <c r="P145" s="16">
        <v>675</v>
      </c>
      <c r="Q145" s="19">
        <v>219</v>
      </c>
      <c r="R145" s="20">
        <v>45738</v>
      </c>
      <c r="S145" s="20">
        <v>45347</v>
      </c>
      <c r="T145" s="18">
        <v>255000</v>
      </c>
      <c r="U145" s="20">
        <v>45737</v>
      </c>
      <c r="V145" s="1"/>
    </row>
    <row r="146" spans="1:22" ht="24" customHeight="1">
      <c r="A146" s="1"/>
      <c r="B146" s="14" t="str">
        <f>HYPERLINK("https://www.compass.com/listing/160-10-89th-avenue-unit-4k-queens-ny-11432/220921427585485569/view?agent_id=610d3f3370540700019b0833","160-10 89th Avenue, Unit 4K")</f>
        <v>160-10 89th Avenue, Unit 4K</v>
      </c>
      <c r="C146" s="15" t="s">
        <v>37</v>
      </c>
      <c r="D146" s="16" t="s">
        <v>23</v>
      </c>
      <c r="E146" s="17" t="str">
        <f>HYPERLINK("https://www.compass.com/building/160-10-89th-ave-queens-ny-11432/293533475963683173/","160-10 89th Ave")</f>
        <v>160-10 89th Ave</v>
      </c>
      <c r="F146" s="15" t="s">
        <v>24</v>
      </c>
      <c r="G146" s="18">
        <v>250000</v>
      </c>
      <c r="H146" s="18"/>
      <c r="I146" s="18">
        <v>1100</v>
      </c>
      <c r="J146" s="18">
        <v>0</v>
      </c>
      <c r="K146" s="15" t="s">
        <v>28</v>
      </c>
      <c r="L146" s="16">
        <v>3</v>
      </c>
      <c r="M146" s="16">
        <v>2</v>
      </c>
      <c r="N146" s="16">
        <v>1</v>
      </c>
      <c r="O146" s="16"/>
      <c r="P146" s="16"/>
      <c r="Q146" s="19">
        <v>146</v>
      </c>
      <c r="R146" s="20">
        <v>45627</v>
      </c>
      <c r="S146" s="20">
        <v>43554</v>
      </c>
      <c r="T146" s="18">
        <v>250000</v>
      </c>
      <c r="U146" s="20">
        <v>43853</v>
      </c>
      <c r="V146" s="1"/>
    </row>
    <row r="147" spans="1:22" ht="24" customHeight="1">
      <c r="A147" s="1"/>
      <c r="B147" s="14" t="str">
        <f>HYPERLINK("https://www.compass.com/listing/88-20-parsons-boulevard-unit-3c-queens-ny-11432/29128966702925313/view?agent_id=610d3f3370540700019b0833","88-20 Parsons Blvd, Unit 3C")</f>
        <v>88-20 Parsons Blvd, Unit 3C</v>
      </c>
      <c r="C147" s="15" t="s">
        <v>37</v>
      </c>
      <c r="D147" s="16" t="s">
        <v>23</v>
      </c>
      <c r="E147" s="17" t="str">
        <f t="shared" ref="E147:E148" si="16">HYPERLINK("https://www.compass.com/building/88-20-parsons-blvd-queens-ny-11432/293417511444079413/","88-20 Parsons Blvd")</f>
        <v>88-20 Parsons Blvd</v>
      </c>
      <c r="F147" s="15" t="s">
        <v>24</v>
      </c>
      <c r="G147" s="18">
        <v>263687</v>
      </c>
      <c r="H147" s="18">
        <v>330</v>
      </c>
      <c r="I147" s="18">
        <v>359</v>
      </c>
      <c r="J147" s="18">
        <v>19</v>
      </c>
      <c r="K147" s="15" t="s">
        <v>25</v>
      </c>
      <c r="L147" s="16"/>
      <c r="M147" s="16">
        <v>2</v>
      </c>
      <c r="N147" s="16">
        <v>1</v>
      </c>
      <c r="O147" s="16">
        <v>0</v>
      </c>
      <c r="P147" s="16">
        <v>800</v>
      </c>
      <c r="Q147" s="19"/>
      <c r="R147" s="20"/>
      <c r="S147" s="20"/>
      <c r="T147" s="18">
        <v>263687</v>
      </c>
      <c r="U147" s="20">
        <v>40256</v>
      </c>
      <c r="V147" s="1"/>
    </row>
    <row r="148" spans="1:22" ht="24" customHeight="1">
      <c r="A148" s="1"/>
      <c r="B148" s="14" t="str">
        <f>HYPERLINK("https://www.compass.com/listing/88-20-parsons-boulevard-unit-2c-queens-ny-11432/381161015694734433/view?agent_id=610d3f3370540700019b0833","88-20 Parsons Blvd, Unit 2C")</f>
        <v>88-20 Parsons Blvd, Unit 2C</v>
      </c>
      <c r="C148" s="15" t="s">
        <v>37</v>
      </c>
      <c r="D148" s="16" t="s">
        <v>23</v>
      </c>
      <c r="E148" s="17" t="str">
        <f t="shared" si="16"/>
        <v>88-20 Parsons Blvd</v>
      </c>
      <c r="F148" s="15" t="s">
        <v>24</v>
      </c>
      <c r="G148" s="18">
        <v>278900</v>
      </c>
      <c r="H148" s="18">
        <v>1823</v>
      </c>
      <c r="I148" s="18">
        <v>670</v>
      </c>
      <c r="J148" s="18">
        <v>2907</v>
      </c>
      <c r="K148" s="15" t="s">
        <v>25</v>
      </c>
      <c r="L148" s="16"/>
      <c r="M148" s="16">
        <v>2</v>
      </c>
      <c r="N148" s="16">
        <v>1</v>
      </c>
      <c r="O148" s="16"/>
      <c r="P148" s="16">
        <v>153</v>
      </c>
      <c r="Q148" s="19"/>
      <c r="R148" s="20"/>
      <c r="S148" s="20"/>
      <c r="T148" s="18">
        <v>278900</v>
      </c>
      <c r="U148" s="20">
        <v>40263</v>
      </c>
      <c r="V148" s="1"/>
    </row>
    <row r="149" spans="1:22" ht="24" customHeight="1">
      <c r="A149" s="1"/>
      <c r="B149" s="14" t="str">
        <f>HYPERLINK("https://www.compass.com/listing/175-45-88th-avenue-unit-5h-queens-ny-11432/1549555732992873665/view?agent_id=610d3f3370540700019b0833","175-45 88th Avenue, Unit 5H")</f>
        <v>175-45 88th Avenue, Unit 5H</v>
      </c>
      <c r="C149" s="15" t="s">
        <v>37</v>
      </c>
      <c r="D149" s="16" t="s">
        <v>23</v>
      </c>
      <c r="E149" s="17" t="str">
        <f>HYPERLINK("https://www.compass.com/building/175-45-88th-ave-queens-ny-11432/293532280863901109/","175-45 88th Ave")</f>
        <v>175-45 88th Ave</v>
      </c>
      <c r="F149" s="15" t="s">
        <v>24</v>
      </c>
      <c r="G149" s="18">
        <v>220000</v>
      </c>
      <c r="H149" s="18"/>
      <c r="I149" s="18">
        <v>1030</v>
      </c>
      <c r="J149" s="18">
        <v>0</v>
      </c>
      <c r="K149" s="15" t="s">
        <v>28</v>
      </c>
      <c r="L149" s="16">
        <v>6</v>
      </c>
      <c r="M149" s="16">
        <v>2</v>
      </c>
      <c r="N149" s="16">
        <v>1</v>
      </c>
      <c r="O149" s="16"/>
      <c r="P149" s="16"/>
      <c r="Q149" s="19">
        <v>71</v>
      </c>
      <c r="R149" s="20">
        <v>45658</v>
      </c>
      <c r="S149" s="20">
        <v>45390</v>
      </c>
      <c r="T149" s="18">
        <v>220000</v>
      </c>
      <c r="U149" s="20">
        <v>45722</v>
      </c>
      <c r="V149" s="1"/>
    </row>
    <row r="150" spans="1:22" ht="24" customHeight="1">
      <c r="A150" s="1"/>
      <c r="B150" s="14" t="str">
        <f>HYPERLINK("https://www.compass.com/listing/88-20-parsons-boulevard-unit-3c-queens-ny-11432/29128966702925329/view?agent_id=610d3f3370540700019b0833","88-20 Parsons Boulevard, Unit 3C")</f>
        <v>88-20 Parsons Boulevard, Unit 3C</v>
      </c>
      <c r="C150" s="15" t="s">
        <v>37</v>
      </c>
      <c r="D150" s="16" t="s">
        <v>23</v>
      </c>
      <c r="E150" s="17" t="str">
        <f>HYPERLINK("https://www.compass.com/building/88-20-parsons-blvd-queens-ny-11432/293417511444079413/","88-20 Parsons Blvd")</f>
        <v>88-20 Parsons Blvd</v>
      </c>
      <c r="F150" s="15" t="s">
        <v>24</v>
      </c>
      <c r="G150" s="18">
        <v>333000</v>
      </c>
      <c r="H150" s="18">
        <v>416</v>
      </c>
      <c r="I150" s="18">
        <v>359</v>
      </c>
      <c r="J150" s="18">
        <v>19</v>
      </c>
      <c r="K150" s="15" t="s">
        <v>25</v>
      </c>
      <c r="L150" s="16">
        <v>5</v>
      </c>
      <c r="M150" s="16">
        <v>2</v>
      </c>
      <c r="N150" s="16">
        <v>1</v>
      </c>
      <c r="O150" s="16">
        <v>0</v>
      </c>
      <c r="P150" s="16">
        <v>800</v>
      </c>
      <c r="Q150" s="19">
        <v>68</v>
      </c>
      <c r="R150" s="20">
        <v>45616</v>
      </c>
      <c r="S150" s="20">
        <v>42191</v>
      </c>
      <c r="T150" s="18">
        <v>333000</v>
      </c>
      <c r="U150" s="20">
        <v>42324</v>
      </c>
      <c r="V150" s="1"/>
    </row>
    <row r="151" spans="1:22" ht="24" customHeight="1">
      <c r="A151" s="1"/>
      <c r="B151" s="14" t="str">
        <f>HYPERLINK("https://www.compass.com/listing/108-33-160th-street-unit-28a-queens-ny-11433/1023759316423903001/view?agent_id=610d3f3370540700019b0833","108-33 160th Street, Unit 28A")</f>
        <v>108-33 160th Street, Unit 28A</v>
      </c>
      <c r="C151" s="15" t="s">
        <v>37</v>
      </c>
      <c r="D151" s="16" t="s">
        <v>23</v>
      </c>
      <c r="E151" s="17" t="str">
        <f>HYPERLINK("https://www.compass.com/building/108-33-160th-st-queens-ny-11433/307451104795137509/","108-33 160th St")</f>
        <v>108-33 160th St</v>
      </c>
      <c r="F151" s="15" t="s">
        <v>45</v>
      </c>
      <c r="G151" s="18">
        <v>300000</v>
      </c>
      <c r="H151" s="18"/>
      <c r="I151" s="18">
        <v>194</v>
      </c>
      <c r="J151" s="18">
        <v>2322</v>
      </c>
      <c r="K151" s="15" t="s">
        <v>25</v>
      </c>
      <c r="L151" s="16">
        <v>5</v>
      </c>
      <c r="M151" s="16">
        <v>2</v>
      </c>
      <c r="N151" s="16">
        <v>1</v>
      </c>
      <c r="O151" s="16"/>
      <c r="P151" s="16"/>
      <c r="Q151" s="19">
        <v>31</v>
      </c>
      <c r="R151" s="20">
        <v>45628</v>
      </c>
      <c r="S151" s="20">
        <v>44664</v>
      </c>
      <c r="T151" s="18">
        <v>300000</v>
      </c>
      <c r="U151" s="20">
        <v>44742</v>
      </c>
      <c r="V151" s="1"/>
    </row>
    <row r="152" spans="1:22" ht="24" customHeight="1">
      <c r="A152" s="1"/>
      <c r="B152" s="14" t="str">
        <f>HYPERLINK("https://www.compass.com/listing/175-45-88th-avenue-unit-5h-queens-ny-11432/1627140455156445505/view?agent_id=610d3f3370540700019b0833","175-45 88th Avenue, Unit 5H")</f>
        <v>175-45 88th Avenue, Unit 5H</v>
      </c>
      <c r="C152" s="15" t="s">
        <v>37</v>
      </c>
      <c r="D152" s="16" t="s">
        <v>23</v>
      </c>
      <c r="E152" s="17" t="str">
        <f>HYPERLINK("https://www.compass.com/building/175-45-88th-ave-queens-ny-11432/293532280863901109/","175-45 88th Ave")</f>
        <v>175-45 88th Ave</v>
      </c>
      <c r="F152" s="15" t="s">
        <v>24</v>
      </c>
      <c r="G152" s="18">
        <v>220000</v>
      </c>
      <c r="H152" s="18"/>
      <c r="I152" s="18">
        <v>1031</v>
      </c>
      <c r="J152" s="18">
        <v>0</v>
      </c>
      <c r="K152" s="15" t="s">
        <v>28</v>
      </c>
      <c r="L152" s="16">
        <v>5</v>
      </c>
      <c r="M152" s="16">
        <v>2</v>
      </c>
      <c r="N152" s="16">
        <v>1</v>
      </c>
      <c r="O152" s="16"/>
      <c r="P152" s="16"/>
      <c r="Q152" s="19">
        <v>89</v>
      </c>
      <c r="R152" s="20">
        <v>45723</v>
      </c>
      <c r="S152" s="20">
        <v>45496</v>
      </c>
      <c r="T152" s="18">
        <v>220000</v>
      </c>
      <c r="U152" s="20">
        <v>45722</v>
      </c>
      <c r="V152" s="1"/>
    </row>
    <row r="153" spans="1:22" ht="24" customHeight="1">
      <c r="A153" s="1"/>
      <c r="B153" s="14" t="str">
        <f>HYPERLINK("https://www.compass.com/listing/108-25-160th-street-unit-24a-queens-ny-11433/29130895587895873/view?agent_id=610d3f3370540700019b0833","108-25 160th Street, Unit 24A")</f>
        <v>108-25 160th Street, Unit 24A</v>
      </c>
      <c r="C153" s="15" t="s">
        <v>37</v>
      </c>
      <c r="D153" s="16" t="s">
        <v>23</v>
      </c>
      <c r="E153" s="17" t="str">
        <f>HYPERLINK("https://www.compass.com/building/108-25-160th-st-queens-ny-11433/307459770973813269/","108-25 160th St")</f>
        <v>108-25 160th St</v>
      </c>
      <c r="F153" s="15" t="s">
        <v>45</v>
      </c>
      <c r="G153" s="18">
        <v>175000</v>
      </c>
      <c r="H153" s="18">
        <v>215</v>
      </c>
      <c r="I153" s="18">
        <v>258</v>
      </c>
      <c r="J153" s="18">
        <v>1140</v>
      </c>
      <c r="K153" s="15" t="s">
        <v>25</v>
      </c>
      <c r="L153" s="16">
        <v>4</v>
      </c>
      <c r="M153" s="16">
        <v>2</v>
      </c>
      <c r="N153" s="16">
        <v>0</v>
      </c>
      <c r="O153" s="16">
        <v>0</v>
      </c>
      <c r="P153" s="16">
        <v>813</v>
      </c>
      <c r="Q153" s="19">
        <v>111</v>
      </c>
      <c r="R153" s="20">
        <v>44581</v>
      </c>
      <c r="S153" s="20">
        <v>42793</v>
      </c>
      <c r="T153" s="18">
        <v>175000</v>
      </c>
      <c r="U153" s="20">
        <v>42905</v>
      </c>
      <c r="V153" s="1"/>
    </row>
    <row r="154" spans="1:22" ht="24" customHeight="1">
      <c r="A154" s="1"/>
      <c r="B154" s="14" t="str">
        <f>HYPERLINK("https://www.compass.com/listing/162-11-107th-avenue-queens-ny-11433/1139855233755885561/view?agent_id=610d3f3370540700019b0833","162-11 107th Avenue")</f>
        <v>162-11 107th Avenue</v>
      </c>
      <c r="C154" s="15" t="s">
        <v>37</v>
      </c>
      <c r="D154" s="16" t="s">
        <v>23</v>
      </c>
      <c r="E154" s="17" t="str">
        <f>HYPERLINK("https://www.compass.com/building/162-11-107th-ave-queens-ny-11433/293533747905690917/","162-11 107th Ave")</f>
        <v>162-11 107th Ave</v>
      </c>
      <c r="F154" s="15" t="s">
        <v>45</v>
      </c>
      <c r="G154" s="18">
        <v>455000</v>
      </c>
      <c r="H154" s="18"/>
      <c r="I154" s="18">
        <v>253</v>
      </c>
      <c r="J154" s="18">
        <v>3032</v>
      </c>
      <c r="K154" s="15" t="s">
        <v>38</v>
      </c>
      <c r="L154" s="16">
        <v>8</v>
      </c>
      <c r="M154" s="16">
        <v>2</v>
      </c>
      <c r="N154" s="16">
        <v>1</v>
      </c>
      <c r="O154" s="16"/>
      <c r="P154" s="16"/>
      <c r="Q154" s="19">
        <v>269</v>
      </c>
      <c r="R154" s="20">
        <v>45617</v>
      </c>
      <c r="S154" s="20">
        <v>44824</v>
      </c>
      <c r="T154" s="18">
        <v>455000</v>
      </c>
      <c r="U154" s="20">
        <v>45446</v>
      </c>
      <c r="V154" s="1"/>
    </row>
    <row r="155" spans="1:22" ht="24" customHeight="1">
      <c r="A155" s="1"/>
      <c r="B155" s="14" t="str">
        <f>HYPERLINK("https://www.compass.com/listing/108-19-160th-street-queens-ny-11433/501801871435071337/view?agent_id=610d3f3370540700019b0833","108-19 160th Street")</f>
        <v>108-19 160th Street</v>
      </c>
      <c r="C155" s="15" t="s">
        <v>37</v>
      </c>
      <c r="D155" s="16" t="s">
        <v>23</v>
      </c>
      <c r="E155" s="17" t="str">
        <f>HYPERLINK("https://www.compass.com/building/108-19-160th-st-queens-ny-11433/307434313310064389/","108-19 160th St")</f>
        <v>108-19 160th St</v>
      </c>
      <c r="F155" s="15" t="s">
        <v>45</v>
      </c>
      <c r="G155" s="18">
        <v>200000</v>
      </c>
      <c r="H155" s="18"/>
      <c r="I155" s="18">
        <v>432</v>
      </c>
      <c r="J155" s="18">
        <v>2072</v>
      </c>
      <c r="K155" s="15" t="s">
        <v>25</v>
      </c>
      <c r="L155" s="16">
        <v>5</v>
      </c>
      <c r="M155" s="16">
        <v>2</v>
      </c>
      <c r="N155" s="16">
        <v>1</v>
      </c>
      <c r="O155" s="16"/>
      <c r="P155" s="16"/>
      <c r="Q155" s="19">
        <v>92</v>
      </c>
      <c r="R155" s="20">
        <v>45626</v>
      </c>
      <c r="S155" s="20">
        <v>42835</v>
      </c>
      <c r="T155" s="18">
        <v>200000</v>
      </c>
      <c r="U155" s="20">
        <v>42996</v>
      </c>
      <c r="V155" s="1"/>
    </row>
    <row r="156" spans="1:22" ht="24" customHeight="1">
      <c r="A156" s="1"/>
      <c r="B156" s="14" t="str">
        <f>HYPERLINK("https://www.compass.com/listing/108-33-160th-street-unit-28a-queens-ny-11433/29130897190124961/view?agent_id=610d3f3370540700019b0833","108-33 160th St, Unit 28A")</f>
        <v>108-33 160th St, Unit 28A</v>
      </c>
      <c r="C156" s="15" t="s">
        <v>37</v>
      </c>
      <c r="D156" s="16" t="s">
        <v>23</v>
      </c>
      <c r="E156" s="17" t="str">
        <f>HYPERLINK("https://www.compass.com/building/108-33-160th-st-queens-ny-11433/307451104795137509/","108-33 160th St")</f>
        <v>108-33 160th St</v>
      </c>
      <c r="F156" s="15" t="s">
        <v>45</v>
      </c>
      <c r="G156" s="18">
        <v>130000</v>
      </c>
      <c r="H156" s="18">
        <v>160</v>
      </c>
      <c r="I156" s="18">
        <v>194</v>
      </c>
      <c r="J156" s="18">
        <v>2322</v>
      </c>
      <c r="K156" s="15" t="s">
        <v>25</v>
      </c>
      <c r="L156" s="16"/>
      <c r="M156" s="16">
        <v>2</v>
      </c>
      <c r="N156" s="16">
        <v>1</v>
      </c>
      <c r="O156" s="16"/>
      <c r="P156" s="16">
        <v>813</v>
      </c>
      <c r="Q156" s="19"/>
      <c r="R156" s="20"/>
      <c r="S156" s="20"/>
      <c r="T156" s="18">
        <v>130000</v>
      </c>
      <c r="U156" s="20">
        <v>38422</v>
      </c>
      <c r="V156" s="1"/>
    </row>
    <row r="157" spans="1:22" ht="24" customHeight="1">
      <c r="A157" s="1"/>
      <c r="B157" s="14" t="str">
        <f>HYPERLINK("https://www.compass.com/listing/87-70-173rd-street-unit-3e-queens-ny-11432/1712489469275991809/view?agent_id=610d3f3370540700019b0833","87-70 173rd Street, Unit 3E")</f>
        <v>87-70 173rd Street, Unit 3E</v>
      </c>
      <c r="C157" s="15" t="s">
        <v>37</v>
      </c>
      <c r="D157" s="16" t="s">
        <v>23</v>
      </c>
      <c r="E157" s="17" t="str">
        <f>HYPERLINK("https://www.compass.com/building/87-70-173rd-st-queens-ny-11432/293417969093019925/","87-70 173rd St")</f>
        <v>87-70 173rd St</v>
      </c>
      <c r="F157" s="15" t="s">
        <v>27</v>
      </c>
      <c r="G157" s="18">
        <v>210000</v>
      </c>
      <c r="H157" s="18"/>
      <c r="I157" s="18">
        <v>960</v>
      </c>
      <c r="J157" s="18">
        <v>0</v>
      </c>
      <c r="K157" s="15" t="s">
        <v>28</v>
      </c>
      <c r="L157" s="16">
        <v>5</v>
      </c>
      <c r="M157" s="16">
        <v>2</v>
      </c>
      <c r="N157" s="16">
        <v>1</v>
      </c>
      <c r="O157" s="16"/>
      <c r="P157" s="16"/>
      <c r="Q157" s="19">
        <v>39</v>
      </c>
      <c r="R157" s="20">
        <v>45834</v>
      </c>
      <c r="S157" s="20">
        <v>45614</v>
      </c>
      <c r="T157" s="18">
        <v>210000</v>
      </c>
      <c r="U157" s="20">
        <v>45832</v>
      </c>
      <c r="V157" s="1"/>
    </row>
    <row r="158" spans="1:22" ht="24" customHeight="1">
      <c r="A158" s="1"/>
      <c r="B158" s="14" t="str">
        <f>HYPERLINK("https://www.compass.com/listing/111-27-144th-street-queens-ny-11435/1247621577507418849/view?agent_id=610d3f3370540700019b0833","111-27 144th Street")</f>
        <v>111-27 144th Street</v>
      </c>
      <c r="C158" s="15" t="s">
        <v>37</v>
      </c>
      <c r="D158" s="16" t="s">
        <v>23</v>
      </c>
      <c r="E158" s="17" t="str">
        <f>HYPERLINK("https://www.compass.com/building/111-27-144th-st-queens-ny-11435/293533183410989909/","111-27 144th St")</f>
        <v>111-27 144th St</v>
      </c>
      <c r="F158" s="15" t="s">
        <v>24</v>
      </c>
      <c r="G158" s="18">
        <v>605000</v>
      </c>
      <c r="H158" s="18">
        <v>512</v>
      </c>
      <c r="I158" s="18">
        <v>441</v>
      </c>
      <c r="J158" s="18">
        <v>5295</v>
      </c>
      <c r="K158" s="15" t="s">
        <v>38</v>
      </c>
      <c r="L158" s="16">
        <v>4</v>
      </c>
      <c r="M158" s="16">
        <v>2</v>
      </c>
      <c r="N158" s="16">
        <v>1</v>
      </c>
      <c r="O158" s="16"/>
      <c r="P158" s="21">
        <v>1182</v>
      </c>
      <c r="Q158" s="19">
        <v>38</v>
      </c>
      <c r="R158" s="20">
        <v>45617</v>
      </c>
      <c r="S158" s="20">
        <v>44973</v>
      </c>
      <c r="T158" s="18">
        <v>605000</v>
      </c>
      <c r="U158" s="20">
        <v>45050</v>
      </c>
      <c r="V158" s="1"/>
    </row>
    <row r="159" spans="1:22" ht="24" customHeight="1">
      <c r="A159" s="1"/>
      <c r="B159" s="14" t="str">
        <f>HYPERLINK("https://www.compass.com/listing/87-70-173rd-street-unit-3e-queens-ny-11432/546828405361335305/view?agent_id=610d3f3370540700019b0833","87-70 173rd St, Unit 3E")</f>
        <v>87-70 173rd St, Unit 3E</v>
      </c>
      <c r="C159" s="15" t="s">
        <v>37</v>
      </c>
      <c r="D159" s="16" t="s">
        <v>23</v>
      </c>
      <c r="E159" s="17" t="str">
        <f>HYPERLINK("https://www.compass.com/building/87-70-173rd-st-queens-ny-11432/293417969093019925/","87-70 173rd St")</f>
        <v>87-70 173rd St</v>
      </c>
      <c r="F159" s="15" t="s">
        <v>27</v>
      </c>
      <c r="G159" s="18">
        <v>100000</v>
      </c>
      <c r="H159" s="18"/>
      <c r="I159" s="18">
        <v>960</v>
      </c>
      <c r="J159" s="18">
        <v>0</v>
      </c>
      <c r="K159" s="15" t="s">
        <v>28</v>
      </c>
      <c r="L159" s="16"/>
      <c r="M159" s="16">
        <v>2</v>
      </c>
      <c r="N159" s="16">
        <v>1</v>
      </c>
      <c r="O159" s="16"/>
      <c r="P159" s="16"/>
      <c r="Q159" s="19"/>
      <c r="R159" s="20"/>
      <c r="S159" s="20"/>
      <c r="T159" s="18">
        <v>100000</v>
      </c>
      <c r="U159" s="20">
        <v>38272</v>
      </c>
      <c r="V159" s="1"/>
    </row>
    <row r="160" spans="1:22" ht="24" customHeight="1">
      <c r="A160" s="1"/>
      <c r="B160" s="14" t="str">
        <f>HYPERLINK("https://www.compass.com/listing/150-17-linden-boulevard-queens-ny-11434/197765680819369457/view?agent_id=610d3f3370540700019b0833","150-17 Linden Boulevard")</f>
        <v>150-17 Linden Boulevard</v>
      </c>
      <c r="C160" s="15" t="s">
        <v>37</v>
      </c>
      <c r="D160" s="16" t="s">
        <v>23</v>
      </c>
      <c r="E160" s="17" t="str">
        <f>HYPERLINK("https://www.compass.com/building/150-17-linden-blvd-queens-ny-11434/293417777958510613/","150-17 Linden Blvd")</f>
        <v>150-17 Linden Blvd</v>
      </c>
      <c r="F160" s="15" t="s">
        <v>24</v>
      </c>
      <c r="G160" s="18">
        <v>293000</v>
      </c>
      <c r="H160" s="18"/>
      <c r="I160" s="18">
        <v>249</v>
      </c>
      <c r="J160" s="18">
        <v>2984</v>
      </c>
      <c r="K160" s="15" t="s">
        <v>38</v>
      </c>
      <c r="L160" s="16">
        <v>5</v>
      </c>
      <c r="M160" s="16">
        <v>2</v>
      </c>
      <c r="N160" s="16">
        <v>1</v>
      </c>
      <c r="O160" s="16"/>
      <c r="P160" s="16"/>
      <c r="Q160" s="19">
        <v>24</v>
      </c>
      <c r="R160" s="20">
        <v>45626</v>
      </c>
      <c r="S160" s="20">
        <v>43149</v>
      </c>
      <c r="T160" s="18">
        <v>293000</v>
      </c>
      <c r="U160" s="20">
        <v>43206</v>
      </c>
      <c r="V160" s="1"/>
    </row>
    <row r="161" spans="1:22" ht="24" customHeight="1">
      <c r="A161" s="1"/>
      <c r="B161" s="14" t="str">
        <f>HYPERLINK("https://www.compass.com/listing/88-30-182nd-street-unit-1j-queens-ny-11423/29130099844508273/view?agent_id=610d3f3370540700019b0833","88-30 182nd St, Unit 1J")</f>
        <v>88-30 182nd St, Unit 1J</v>
      </c>
      <c r="C161" s="15" t="s">
        <v>37</v>
      </c>
      <c r="D161" s="16" t="s">
        <v>23</v>
      </c>
      <c r="E161" s="17" t="str">
        <f>HYPERLINK("https://www.compass.com/building/88-30-182nd-st-queens-ny-11423/293526129111833317/","88-30 182nd St")</f>
        <v>88-30 182nd St</v>
      </c>
      <c r="F161" s="15" t="s">
        <v>24</v>
      </c>
      <c r="G161" s="18">
        <v>169000</v>
      </c>
      <c r="H161" s="18">
        <v>169</v>
      </c>
      <c r="I161" s="18">
        <v>500</v>
      </c>
      <c r="J161" s="18"/>
      <c r="K161" s="15" t="s">
        <v>28</v>
      </c>
      <c r="L161" s="16"/>
      <c r="M161" s="16">
        <v>2</v>
      </c>
      <c r="N161" s="16">
        <v>1</v>
      </c>
      <c r="O161" s="16"/>
      <c r="P161" s="21">
        <v>1000</v>
      </c>
      <c r="Q161" s="19"/>
      <c r="R161" s="20"/>
      <c r="S161" s="20"/>
      <c r="T161" s="18">
        <v>169000</v>
      </c>
      <c r="U161" s="20">
        <v>38782</v>
      </c>
      <c r="V161" s="1"/>
    </row>
    <row r="162" spans="1:22" ht="24" customHeight="1">
      <c r="A162" s="1"/>
      <c r="B162" s="14" t="str">
        <f>HYPERLINK("https://www.compass.com/listing/111-36-145th-street-queens-ny-11435/1123378545775155817/view?agent_id=610d3f3370540700019b0833","111-36 145th Street")</f>
        <v>111-36 145th Street</v>
      </c>
      <c r="C162" s="15" t="s">
        <v>37</v>
      </c>
      <c r="D162" s="16" t="s">
        <v>23</v>
      </c>
      <c r="E162" s="17" t="str">
        <f>HYPERLINK("https://www.compass.com/building/111-36-145th-st-queens-ny-11435/293531296955663029/","111-36 145th St")</f>
        <v>111-36 145th St</v>
      </c>
      <c r="F162" s="15" t="s">
        <v>24</v>
      </c>
      <c r="G162" s="18">
        <v>485000</v>
      </c>
      <c r="H162" s="18"/>
      <c r="I162" s="18">
        <v>272</v>
      </c>
      <c r="J162" s="18">
        <v>3259</v>
      </c>
      <c r="K162" s="15" t="s">
        <v>39</v>
      </c>
      <c r="L162" s="16">
        <v>4</v>
      </c>
      <c r="M162" s="16">
        <v>2</v>
      </c>
      <c r="N162" s="16">
        <v>1</v>
      </c>
      <c r="O162" s="16"/>
      <c r="P162" s="16"/>
      <c r="Q162" s="19">
        <v>69</v>
      </c>
      <c r="R162" s="20">
        <v>45629</v>
      </c>
      <c r="S162" s="20">
        <v>44810</v>
      </c>
      <c r="T162" s="18">
        <v>485000</v>
      </c>
      <c r="U162" s="20">
        <v>44916</v>
      </c>
      <c r="V162" s="1"/>
    </row>
    <row r="163" spans="1:22" ht="24" customHeight="1">
      <c r="A163" s="1"/>
      <c r="B163" s="14" t="str">
        <f>HYPERLINK("https://www.compass.com/listing/111-55-145th-street-queens-ny-11435/1419606141531757793/view?agent_id=610d3f3370540700019b0833","111-55 145th Street")</f>
        <v>111-55 145th Street</v>
      </c>
      <c r="C163" s="15" t="s">
        <v>37</v>
      </c>
      <c r="D163" s="16" t="s">
        <v>23</v>
      </c>
      <c r="E163" s="17" t="str">
        <f>HYPERLINK("https://www.compass.com/building/111-55-145th-st-queens-ny-11435/293528685900835509/","111-55 145th St")</f>
        <v>111-55 145th St</v>
      </c>
      <c r="F163" s="15" t="s">
        <v>24</v>
      </c>
      <c r="G163" s="18">
        <v>559000</v>
      </c>
      <c r="H163" s="18">
        <v>442</v>
      </c>
      <c r="I163" s="18">
        <v>350</v>
      </c>
      <c r="J163" s="18">
        <v>4204</v>
      </c>
      <c r="K163" s="15" t="s">
        <v>38</v>
      </c>
      <c r="L163" s="16">
        <v>4</v>
      </c>
      <c r="M163" s="16">
        <v>2</v>
      </c>
      <c r="N163" s="16">
        <v>1</v>
      </c>
      <c r="O163" s="16"/>
      <c r="P163" s="21">
        <v>1266</v>
      </c>
      <c r="Q163" s="19">
        <v>107</v>
      </c>
      <c r="R163" s="20">
        <v>45617</v>
      </c>
      <c r="S163" s="20">
        <v>45210</v>
      </c>
      <c r="T163" s="18">
        <v>559000</v>
      </c>
      <c r="U163" s="20">
        <v>45363</v>
      </c>
      <c r="V163" s="1"/>
    </row>
    <row r="164" spans="1:22" ht="24" customHeight="1">
      <c r="A164" s="1"/>
      <c r="B164" s="14" t="str">
        <f>HYPERLINK("https://www.compass.com/listing/111-35-sutphin-boulevard-queens-ny-11435/1601819911134564017/view?agent_id=610d3f3370540700019b0833","111-35 Sutphin Boulevard")</f>
        <v>111-35 Sutphin Boulevard</v>
      </c>
      <c r="C164" s="15" t="s">
        <v>37</v>
      </c>
      <c r="D164" s="16" t="s">
        <v>23</v>
      </c>
      <c r="E164" s="17" t="str">
        <f>HYPERLINK("https://www.compass.com/building/111-35-sutphin-blvd-queens-ny-11435/293528581521341349/","111-35 Sutphin Blvd")</f>
        <v>111-35 Sutphin Blvd</v>
      </c>
      <c r="F164" s="15" t="s">
        <v>24</v>
      </c>
      <c r="G164" s="18">
        <v>302000</v>
      </c>
      <c r="H164" s="18">
        <v>368</v>
      </c>
      <c r="I164" s="18">
        <v>332</v>
      </c>
      <c r="J164" s="18">
        <v>3983</v>
      </c>
      <c r="K164" s="15" t="s">
        <v>38</v>
      </c>
      <c r="L164" s="16">
        <v>2</v>
      </c>
      <c r="M164" s="16">
        <v>2</v>
      </c>
      <c r="N164" s="16">
        <v>1</v>
      </c>
      <c r="O164" s="16"/>
      <c r="P164" s="16">
        <v>820</v>
      </c>
      <c r="Q164" s="19">
        <v>157</v>
      </c>
      <c r="R164" s="20">
        <v>45789</v>
      </c>
      <c r="S164" s="20">
        <v>45461</v>
      </c>
      <c r="T164" s="18">
        <v>302000</v>
      </c>
      <c r="U164" s="20">
        <v>45757</v>
      </c>
      <c r="V164" s="1"/>
    </row>
    <row r="165" spans="1:22" ht="24" customHeight="1">
      <c r="A165" s="1"/>
      <c r="B165" s="14" t="str">
        <f>HYPERLINK("https://www.compass.com/listing/105-49-remington-street-queens-ny-11435/853709465117781977/view?agent_id=610d3f3370540700019b0833","105-49 Remington Street")</f>
        <v>105-49 Remington Street</v>
      </c>
      <c r="C165" s="15" t="s">
        <v>37</v>
      </c>
      <c r="D165" s="16" t="s">
        <v>23</v>
      </c>
      <c r="E165" s="17" t="str">
        <f>HYPERLINK("https://www.compass.com/building/105-49-remington-st-queens-ny-11435/293532292280801365/","105-49 Remington St")</f>
        <v>105-49 Remington St</v>
      </c>
      <c r="F165" s="15" t="s">
        <v>24</v>
      </c>
      <c r="G165" s="18">
        <v>468500</v>
      </c>
      <c r="H165" s="18">
        <v>341</v>
      </c>
      <c r="I165" s="18">
        <v>241</v>
      </c>
      <c r="J165" s="18">
        <v>2894</v>
      </c>
      <c r="K165" s="15" t="s">
        <v>38</v>
      </c>
      <c r="L165" s="16">
        <v>7</v>
      </c>
      <c r="M165" s="16">
        <v>2</v>
      </c>
      <c r="N165" s="16">
        <v>1</v>
      </c>
      <c r="O165" s="16"/>
      <c r="P165" s="21">
        <v>1373</v>
      </c>
      <c r="Q165" s="19">
        <v>16</v>
      </c>
      <c r="R165" s="20">
        <v>45617</v>
      </c>
      <c r="S165" s="20">
        <v>44442</v>
      </c>
      <c r="T165" s="18">
        <v>468500</v>
      </c>
      <c r="U165" s="20">
        <v>44544</v>
      </c>
      <c r="V165" s="1"/>
    </row>
    <row r="166" spans="1:22" ht="24" customHeight="1">
      <c r="A166" s="1"/>
      <c r="B166" s="14" t="str">
        <f>HYPERLINK("https://www.compass.com/listing/111-59-144th-street-queens-ny-11435/1730605285963279641/view?agent_id=610d3f3370540700019b0833","111-59 144th Street")</f>
        <v>111-59 144th Street</v>
      </c>
      <c r="C166" s="15" t="s">
        <v>37</v>
      </c>
      <c r="D166" s="16" t="s">
        <v>23</v>
      </c>
      <c r="E166" s="17" t="str">
        <f>HYPERLINK("https://www.compass.com/building/111-59-144th-st-queens-ny-11435/293530413333285189/","111-59 144th St")</f>
        <v>111-59 144th St</v>
      </c>
      <c r="F166" s="15" t="s">
        <v>24</v>
      </c>
      <c r="G166" s="18">
        <v>165000</v>
      </c>
      <c r="H166" s="18">
        <v>179</v>
      </c>
      <c r="I166" s="18">
        <v>191</v>
      </c>
      <c r="J166" s="18">
        <v>2296</v>
      </c>
      <c r="K166" s="15" t="s">
        <v>38</v>
      </c>
      <c r="L166" s="16">
        <v>5</v>
      </c>
      <c r="M166" s="16">
        <v>2</v>
      </c>
      <c r="N166" s="16">
        <v>1</v>
      </c>
      <c r="O166" s="16"/>
      <c r="P166" s="16">
        <v>924</v>
      </c>
      <c r="Q166" s="19">
        <v>95</v>
      </c>
      <c r="R166" s="20">
        <v>45597</v>
      </c>
      <c r="S166" s="20">
        <v>41163</v>
      </c>
      <c r="T166" s="18">
        <v>165000</v>
      </c>
      <c r="U166" s="20">
        <v>41565</v>
      </c>
      <c r="V166" s="1"/>
    </row>
    <row r="167" spans="1:22" ht="24" customHeight="1">
      <c r="A167" s="1"/>
      <c r="B167" s="14" t="str">
        <f>HYPERLINK("https://www.compass.com/listing/139-15-139th-street-unit-420-queens-ny-11435/197759700496831025/view?agent_id=610d3f3370540700019b0833","139-15 139th Street, Unit 420")</f>
        <v>139-15 139th Street, Unit 420</v>
      </c>
      <c r="C167" s="15" t="s">
        <v>37</v>
      </c>
      <c r="D167" s="16" t="s">
        <v>23</v>
      </c>
      <c r="E167" s="16" t="s">
        <v>46</v>
      </c>
      <c r="F167" s="15" t="s">
        <v>24</v>
      </c>
      <c r="G167" s="18">
        <v>210000</v>
      </c>
      <c r="H167" s="18">
        <v>233</v>
      </c>
      <c r="I167" s="18">
        <v>0</v>
      </c>
      <c r="J167" s="18">
        <v>0</v>
      </c>
      <c r="K167" s="15" t="s">
        <v>43</v>
      </c>
      <c r="L167" s="16">
        <v>5</v>
      </c>
      <c r="M167" s="16">
        <v>2</v>
      </c>
      <c r="N167" s="16">
        <v>1</v>
      </c>
      <c r="O167" s="16">
        <v>0</v>
      </c>
      <c r="P167" s="16">
        <v>900</v>
      </c>
      <c r="Q167" s="19">
        <v>120</v>
      </c>
      <c r="R167" s="20">
        <v>45625</v>
      </c>
      <c r="S167" s="20">
        <v>42500</v>
      </c>
      <c r="T167" s="18">
        <v>210000</v>
      </c>
      <c r="U167" s="20">
        <v>42746</v>
      </c>
      <c r="V167" s="1"/>
    </row>
    <row r="168" spans="1:22" ht="24" customHeight="1">
      <c r="A168" s="1"/>
      <c r="B168" s="14" t="str">
        <f>HYPERLINK("https://www.compass.com/listing/111-32-147th-street-queens-ny-11435/197181541116314257/view?agent_id=610d3f3370540700019b0833","111-32 147th Street")</f>
        <v>111-32 147th Street</v>
      </c>
      <c r="C168" s="15" t="s">
        <v>37</v>
      </c>
      <c r="D168" s="16" t="s">
        <v>23</v>
      </c>
      <c r="E168" s="17" t="str">
        <f>HYPERLINK("https://www.compass.com/building/111-32-147th-st-queens-ny-11435/293531768160621957/","111-32 147th St")</f>
        <v>111-32 147th St</v>
      </c>
      <c r="F168" s="15" t="s">
        <v>24</v>
      </c>
      <c r="G168" s="18">
        <v>400000</v>
      </c>
      <c r="H168" s="18"/>
      <c r="I168" s="18">
        <v>266</v>
      </c>
      <c r="J168" s="18">
        <v>3191</v>
      </c>
      <c r="K168" s="15" t="s">
        <v>38</v>
      </c>
      <c r="L168" s="16">
        <v>5</v>
      </c>
      <c r="M168" s="16">
        <v>2</v>
      </c>
      <c r="N168" s="16">
        <v>1</v>
      </c>
      <c r="O168" s="16"/>
      <c r="P168" s="16"/>
      <c r="Q168" s="19">
        <v>72</v>
      </c>
      <c r="R168" s="20">
        <v>45627</v>
      </c>
      <c r="S168" s="20">
        <v>43430</v>
      </c>
      <c r="T168" s="18">
        <v>400000</v>
      </c>
      <c r="U168" s="20">
        <v>43572</v>
      </c>
      <c r="V168" s="1"/>
    </row>
    <row r="169" spans="1:22" ht="24" customHeight="1">
      <c r="A169" s="1"/>
      <c r="B169" s="14" t="str">
        <f>HYPERLINK("https://www.compass.com/listing/111-54-145th-street-queens-ny-11435/653677752542052041/view?agent_id=610d3f3370540700019b0833","111-54 145th Street")</f>
        <v>111-54 145th Street</v>
      </c>
      <c r="C169" s="15" t="s">
        <v>37</v>
      </c>
      <c r="D169" s="16" t="s">
        <v>23</v>
      </c>
      <c r="E169" s="17" t="str">
        <f>HYPERLINK("https://www.compass.com/building/111-54-145th-st-queens-ny-11435/293532644812067669/","111-54 145th St")</f>
        <v>111-54 145th St</v>
      </c>
      <c r="F169" s="15" t="s">
        <v>24</v>
      </c>
      <c r="G169" s="18">
        <v>389000</v>
      </c>
      <c r="H169" s="18">
        <v>278</v>
      </c>
      <c r="I169" s="18">
        <v>281</v>
      </c>
      <c r="J169" s="18">
        <v>3371</v>
      </c>
      <c r="K169" s="15" t="s">
        <v>38</v>
      </c>
      <c r="L169" s="16">
        <v>5</v>
      </c>
      <c r="M169" s="16">
        <v>2</v>
      </c>
      <c r="N169" s="16">
        <v>1</v>
      </c>
      <c r="O169" s="16"/>
      <c r="P169" s="21">
        <v>1400</v>
      </c>
      <c r="Q169" s="19">
        <v>81</v>
      </c>
      <c r="R169" s="20">
        <v>45617</v>
      </c>
      <c r="S169" s="20">
        <v>44152</v>
      </c>
      <c r="T169" s="18">
        <v>389000</v>
      </c>
      <c r="U169" s="20">
        <v>44579</v>
      </c>
      <c r="V169" s="1"/>
    </row>
    <row r="170" spans="1:22" ht="24" customHeight="1">
      <c r="A170" s="1"/>
      <c r="B170" s="14" t="str">
        <f>HYPERLINK("https://www.compass.com/listing/144-19-106th-avenue-queens-ny-11435/446608205892870641/view?agent_id=610d3f3370540700019b0833","144-19 106th Ave")</f>
        <v>144-19 106th Ave</v>
      </c>
      <c r="C170" s="15" t="s">
        <v>37</v>
      </c>
      <c r="D170" s="16" t="s">
        <v>23</v>
      </c>
      <c r="E170" s="17" t="str">
        <f>HYPERLINK("https://www.compass.com/building/144-19-106th-ave-queens-ny-11435/293417943230930181/","144-19 106th Ave")</f>
        <v>144-19 106th Ave</v>
      </c>
      <c r="F170" s="15" t="s">
        <v>24</v>
      </c>
      <c r="G170" s="18"/>
      <c r="H170" s="18"/>
      <c r="I170" s="18">
        <v>0</v>
      </c>
      <c r="J170" s="18">
        <v>0</v>
      </c>
      <c r="K170" s="15"/>
      <c r="L170" s="16"/>
      <c r="M170" s="16">
        <v>2</v>
      </c>
      <c r="N170" s="16">
        <v>1</v>
      </c>
      <c r="O170" s="16">
        <v>0</v>
      </c>
      <c r="P170" s="16"/>
      <c r="Q170" s="19">
        <v>2</v>
      </c>
      <c r="R170" s="20">
        <v>43728</v>
      </c>
      <c r="S170" s="20">
        <v>43726</v>
      </c>
      <c r="T170" s="18"/>
      <c r="U170" s="20">
        <v>43728</v>
      </c>
      <c r="V170" s="1"/>
    </row>
    <row r="171" spans="1:22" ht="24" customHeight="1">
      <c r="A171" s="1"/>
      <c r="B171" s="14" t="str">
        <f>HYPERLINK("https://www.compass.com/listing/111-59-144th-street-queens-ny-11435/1556363293177456801/view?agent_id=610d3f3370540700019b0833","111-59 144th Street")</f>
        <v>111-59 144th Street</v>
      </c>
      <c r="C171" s="15" t="s">
        <v>37</v>
      </c>
      <c r="D171" s="16" t="s">
        <v>23</v>
      </c>
      <c r="E171" s="17" t="str">
        <f>HYPERLINK("https://www.compass.com/building/111-59-144th-st-queens-ny-11435/293530413333285189/","111-59 144th St")</f>
        <v>111-59 144th St</v>
      </c>
      <c r="F171" s="15" t="s">
        <v>24</v>
      </c>
      <c r="G171" s="18">
        <v>165000</v>
      </c>
      <c r="H171" s="18"/>
      <c r="I171" s="18">
        <v>210</v>
      </c>
      <c r="J171" s="18">
        <v>2515</v>
      </c>
      <c r="K171" s="15" t="s">
        <v>38</v>
      </c>
      <c r="L171" s="16">
        <v>4</v>
      </c>
      <c r="M171" s="16">
        <v>2</v>
      </c>
      <c r="N171" s="16">
        <v>1</v>
      </c>
      <c r="O171" s="16"/>
      <c r="P171" s="16"/>
      <c r="Q171" s="19">
        <v>3</v>
      </c>
      <c r="R171" s="20">
        <v>45597</v>
      </c>
      <c r="S171" s="20">
        <v>41450</v>
      </c>
      <c r="T171" s="18">
        <v>165000</v>
      </c>
      <c r="U171" s="20">
        <v>41565</v>
      </c>
      <c r="V171" s="1"/>
    </row>
    <row r="172" spans="1:22" ht="24" customHeight="1">
      <c r="A172" s="1"/>
      <c r="B172" s="14" t="str">
        <f>HYPERLINK("https://www.compass.com/listing/146-17-lakewood-avenue-queens-ny-11435/1730716000262304969/view?agent_id=610d3f3370540700019b0833","146-17 Lakewood Avenue")</f>
        <v>146-17 Lakewood Avenue</v>
      </c>
      <c r="C172" s="15" t="s">
        <v>37</v>
      </c>
      <c r="D172" s="16" t="s">
        <v>23</v>
      </c>
      <c r="E172" s="17" t="str">
        <f>HYPERLINK("https://www.compass.com/building/146-17-lakewood-ave-queens-ny-11435/293531212264370341/","146-17 Lakewood Ave")</f>
        <v>146-17 Lakewood Ave</v>
      </c>
      <c r="F172" s="15" t="s">
        <v>24</v>
      </c>
      <c r="G172" s="18">
        <v>292520</v>
      </c>
      <c r="H172" s="18"/>
      <c r="I172" s="18">
        <v>162</v>
      </c>
      <c r="J172" s="18">
        <v>1940</v>
      </c>
      <c r="K172" s="15" t="s">
        <v>38</v>
      </c>
      <c r="L172" s="16">
        <v>6</v>
      </c>
      <c r="M172" s="16">
        <v>2</v>
      </c>
      <c r="N172" s="16">
        <v>1</v>
      </c>
      <c r="O172" s="16"/>
      <c r="P172" s="16"/>
      <c r="Q172" s="19">
        <v>170</v>
      </c>
      <c r="R172" s="20">
        <v>45617</v>
      </c>
      <c r="S172" s="20">
        <v>41402</v>
      </c>
      <c r="T172" s="18">
        <v>292520</v>
      </c>
      <c r="U172" s="20">
        <v>41661</v>
      </c>
      <c r="V172" s="1"/>
    </row>
    <row r="173" spans="1:22" ht="24" customHeight="1">
      <c r="A173" s="1"/>
      <c r="B173" s="14" t="str">
        <f>HYPERLINK("https://www.compass.com/listing/111-33-sutphin-boulevard-queens-ny-11435/29141223281289745/view?agent_id=610d3f3370540700019b0833","111-33 Sutphin Boulevard")</f>
        <v>111-33 Sutphin Boulevard</v>
      </c>
      <c r="C173" s="15" t="s">
        <v>37</v>
      </c>
      <c r="D173" s="16" t="s">
        <v>23</v>
      </c>
      <c r="E173" s="17" t="str">
        <f>HYPERLINK("https://www.compass.com/building/111-33-sutphin-blvd-queens-ny-11435/293531138763357301/","111-33 Sutphin Blvd")</f>
        <v>111-33 Sutphin Blvd</v>
      </c>
      <c r="F173" s="15" t="s">
        <v>24</v>
      </c>
      <c r="G173" s="18">
        <v>186000</v>
      </c>
      <c r="H173" s="18"/>
      <c r="I173" s="18">
        <v>217</v>
      </c>
      <c r="J173" s="18">
        <v>2600</v>
      </c>
      <c r="K173" s="15" t="s">
        <v>38</v>
      </c>
      <c r="L173" s="16">
        <v>5</v>
      </c>
      <c r="M173" s="16">
        <v>2</v>
      </c>
      <c r="N173" s="16">
        <v>1</v>
      </c>
      <c r="O173" s="16">
        <v>0</v>
      </c>
      <c r="P173" s="16"/>
      <c r="Q173" s="19">
        <v>22</v>
      </c>
      <c r="R173" s="20">
        <v>45625</v>
      </c>
      <c r="S173" s="20">
        <v>42318</v>
      </c>
      <c r="T173" s="18">
        <v>186000</v>
      </c>
      <c r="U173" s="20">
        <v>42452</v>
      </c>
      <c r="V173" s="1"/>
    </row>
    <row r="174" spans="1:22" ht="24" customHeight="1">
      <c r="A174" s="1"/>
      <c r="B174" s="14" t="str">
        <f>HYPERLINK("https://www.compass.com/listing/111-28-147th-street-queens-ny-11435/254534537537751329/view?agent_id=610d3f3370540700019b0833","111-28 147th Street")</f>
        <v>111-28 147th Street</v>
      </c>
      <c r="C174" s="15" t="s">
        <v>37</v>
      </c>
      <c r="D174" s="16" t="s">
        <v>23</v>
      </c>
      <c r="E174" s="16" t="s">
        <v>47</v>
      </c>
      <c r="F174" s="15" t="s">
        <v>24</v>
      </c>
      <c r="G174" s="18">
        <v>366054</v>
      </c>
      <c r="H174" s="18">
        <v>347</v>
      </c>
      <c r="I174" s="18">
        <v>275</v>
      </c>
      <c r="J174" s="18">
        <v>3301</v>
      </c>
      <c r="K174" s="15" t="s">
        <v>38</v>
      </c>
      <c r="L174" s="16">
        <v>6</v>
      </c>
      <c r="M174" s="16">
        <v>2</v>
      </c>
      <c r="N174" s="16">
        <v>1</v>
      </c>
      <c r="O174" s="16"/>
      <c r="P174" s="21">
        <v>1056</v>
      </c>
      <c r="Q174" s="19">
        <v>67</v>
      </c>
      <c r="R174" s="20">
        <v>45627</v>
      </c>
      <c r="S174" s="20">
        <v>43602</v>
      </c>
      <c r="T174" s="18">
        <v>366054</v>
      </c>
      <c r="U174" s="20">
        <v>43685</v>
      </c>
      <c r="V174" s="1"/>
    </row>
    <row r="175" spans="1:22" ht="24" customHeight="1">
      <c r="A175" s="1"/>
      <c r="B175" s="14" t="str">
        <f>HYPERLINK("https://www.compass.com/listing/111-78-145th-street-queens-ny-11435/624564645849799161/view?agent_id=610d3f3370540700019b0833","111-78 145th Street")</f>
        <v>111-78 145th Street</v>
      </c>
      <c r="C175" s="15" t="s">
        <v>37</v>
      </c>
      <c r="D175" s="16" t="s">
        <v>23</v>
      </c>
      <c r="E175" s="17" t="str">
        <f>HYPERLINK("https://www.compass.com/building/111-78-145th-st-queens-ny-11435/293526085818210341/","111-78 145th St")</f>
        <v>111-78 145th St</v>
      </c>
      <c r="F175" s="15" t="s">
        <v>24</v>
      </c>
      <c r="G175" s="18">
        <v>432600</v>
      </c>
      <c r="H175" s="18"/>
      <c r="I175" s="18">
        <v>252</v>
      </c>
      <c r="J175" s="18">
        <v>3022</v>
      </c>
      <c r="K175" s="15" t="s">
        <v>38</v>
      </c>
      <c r="L175" s="16">
        <v>5</v>
      </c>
      <c r="M175" s="16">
        <v>2</v>
      </c>
      <c r="N175" s="16">
        <v>1</v>
      </c>
      <c r="O175" s="16"/>
      <c r="P175" s="16"/>
      <c r="Q175" s="19">
        <v>62</v>
      </c>
      <c r="R175" s="20">
        <v>45617</v>
      </c>
      <c r="S175" s="20">
        <v>44113</v>
      </c>
      <c r="T175" s="18">
        <v>432600</v>
      </c>
      <c r="U175" s="20">
        <v>44350</v>
      </c>
      <c r="V175" s="1"/>
    </row>
    <row r="176" spans="1:22" ht="24" customHeight="1">
      <c r="A176" s="1"/>
      <c r="B176" s="14" t="str">
        <f>HYPERLINK("https://www.compass.com/listing/111-40-141st-street-queens-ny-11435/606998357367732585/view?agent_id=610d3f3370540700019b0833","111-40 141st Street")</f>
        <v>111-40 141st Street</v>
      </c>
      <c r="C176" s="15" t="s">
        <v>37</v>
      </c>
      <c r="D176" s="16" t="s">
        <v>23</v>
      </c>
      <c r="E176" s="17" t="str">
        <f>HYPERLINK("https://www.compass.com/building/111-40-141st-st-queens-ny-11435/293534245861792789/","111-40 141st St")</f>
        <v>111-40 141st St</v>
      </c>
      <c r="F176" s="15" t="s">
        <v>24</v>
      </c>
      <c r="G176" s="18">
        <v>440000</v>
      </c>
      <c r="H176" s="18"/>
      <c r="I176" s="18">
        <v>256</v>
      </c>
      <c r="J176" s="18">
        <v>3072</v>
      </c>
      <c r="K176" s="15" t="s">
        <v>48</v>
      </c>
      <c r="L176" s="16">
        <v>6</v>
      </c>
      <c r="M176" s="16">
        <v>2</v>
      </c>
      <c r="N176" s="16"/>
      <c r="O176" s="16"/>
      <c r="P176" s="16"/>
      <c r="Q176" s="19">
        <v>144</v>
      </c>
      <c r="R176" s="20">
        <v>44345</v>
      </c>
      <c r="S176" s="20">
        <v>44088</v>
      </c>
      <c r="T176" s="18">
        <v>440000</v>
      </c>
      <c r="U176" s="20">
        <v>44337</v>
      </c>
      <c r="V176" s="1"/>
    </row>
    <row r="177" spans="1:22" ht="24" customHeight="1">
      <c r="A177" s="1"/>
      <c r="B177" s="14" t="str">
        <f>HYPERLINK("https://www.compass.com/listing/138-21-linden-boulevard-queens-ny-11435/196909765903807809/view?agent_id=610d3f3370540700019b0833","138-21 Linden Boulevard")</f>
        <v>138-21 Linden Boulevard</v>
      </c>
      <c r="C177" s="15" t="s">
        <v>37</v>
      </c>
      <c r="D177" s="16" t="s">
        <v>23</v>
      </c>
      <c r="E177" s="17" t="str">
        <f>HYPERLINK("https://www.compass.com/building/138-21-linden-blvd-queens-ny-11435/293533136241827413/","138-21 Linden Blvd")</f>
        <v>138-21 Linden Blvd</v>
      </c>
      <c r="F177" s="15" t="s">
        <v>24</v>
      </c>
      <c r="G177" s="18">
        <v>460000</v>
      </c>
      <c r="H177" s="18">
        <v>522</v>
      </c>
      <c r="I177" s="18">
        <v>258</v>
      </c>
      <c r="J177" s="18">
        <v>3093</v>
      </c>
      <c r="K177" s="15" t="s">
        <v>38</v>
      </c>
      <c r="L177" s="16">
        <v>5</v>
      </c>
      <c r="M177" s="16">
        <v>2</v>
      </c>
      <c r="N177" s="16">
        <v>1</v>
      </c>
      <c r="O177" s="16"/>
      <c r="P177" s="16">
        <v>882</v>
      </c>
      <c r="Q177" s="19">
        <v>96</v>
      </c>
      <c r="R177" s="20">
        <v>45627</v>
      </c>
      <c r="S177" s="20">
        <v>43487</v>
      </c>
      <c r="T177" s="18">
        <v>460000</v>
      </c>
      <c r="U177" s="20">
        <v>43719</v>
      </c>
      <c r="V177" s="1"/>
    </row>
    <row r="178" spans="1:22" ht="24" customHeight="1">
      <c r="A178" s="1"/>
      <c r="B178" s="14" t="str">
        <f>HYPERLINK("https://www.compass.com/listing/146-07-lakewood-avenue-queens-ny-11435/1730618425501386489/view?agent_id=610d3f3370540700019b0833","146-07 Lakewood Avenue")</f>
        <v>146-07 Lakewood Avenue</v>
      </c>
      <c r="C178" s="15" t="s">
        <v>37</v>
      </c>
      <c r="D178" s="16" t="s">
        <v>23</v>
      </c>
      <c r="E178" s="17" t="str">
        <f>HYPERLINK("https://www.compass.com/building/146-07-lakewood-ave-queens-ny-11435/293528489556991301/","146-07 Lakewood Ave")</f>
        <v>146-07 Lakewood Ave</v>
      </c>
      <c r="F178" s="15" t="s">
        <v>24</v>
      </c>
      <c r="G178" s="18">
        <v>265000</v>
      </c>
      <c r="H178" s="18"/>
      <c r="I178" s="18">
        <v>117</v>
      </c>
      <c r="J178" s="18">
        <v>1409</v>
      </c>
      <c r="K178" s="15" t="s">
        <v>38</v>
      </c>
      <c r="L178" s="16">
        <v>5</v>
      </c>
      <c r="M178" s="16">
        <v>2</v>
      </c>
      <c r="N178" s="16">
        <v>1</v>
      </c>
      <c r="O178" s="16"/>
      <c r="P178" s="16"/>
      <c r="Q178" s="19">
        <v>514</v>
      </c>
      <c r="R178" s="20">
        <v>45617</v>
      </c>
      <c r="S178" s="20">
        <v>41281</v>
      </c>
      <c r="T178" s="18">
        <v>265000</v>
      </c>
      <c r="U178" s="20">
        <v>41801</v>
      </c>
      <c r="V178" s="1"/>
    </row>
    <row r="179" spans="1:22" ht="24" customHeight="1">
      <c r="A179" s="1"/>
      <c r="B179" s="14" t="str">
        <f>HYPERLINK("https://www.compass.com/listing/111-26-140th-street-queens-ny-11435/1730623293108414913/view?agent_id=610d3f3370540700019b0833","111-26 140th Street")</f>
        <v>111-26 140th Street</v>
      </c>
      <c r="C179" s="15" t="s">
        <v>37</v>
      </c>
      <c r="D179" s="16" t="s">
        <v>23</v>
      </c>
      <c r="E179" s="17" t="str">
        <f>HYPERLINK("https://www.compass.com/building/111-26-140th-st-queens-ny-11435/293530357205087509/","111-26 140th St")</f>
        <v>111-26 140th St</v>
      </c>
      <c r="F179" s="15" t="s">
        <v>24</v>
      </c>
      <c r="G179" s="18">
        <v>235000</v>
      </c>
      <c r="H179" s="18"/>
      <c r="I179" s="18">
        <v>169</v>
      </c>
      <c r="J179" s="18">
        <v>2027</v>
      </c>
      <c r="K179" s="15" t="s">
        <v>38</v>
      </c>
      <c r="L179" s="16">
        <v>5</v>
      </c>
      <c r="M179" s="16">
        <v>2</v>
      </c>
      <c r="N179" s="16">
        <v>1</v>
      </c>
      <c r="O179" s="16"/>
      <c r="P179" s="16"/>
      <c r="Q179" s="19">
        <v>111</v>
      </c>
      <c r="R179" s="20">
        <v>45617</v>
      </c>
      <c r="S179" s="20">
        <v>41045</v>
      </c>
      <c r="T179" s="18">
        <v>235000</v>
      </c>
      <c r="U179" s="20">
        <v>41358</v>
      </c>
      <c r="V179" s="1"/>
    </row>
    <row r="180" spans="1:22" ht="24" customHeight="1">
      <c r="A180" s="1"/>
      <c r="B180" s="14" t="str">
        <f>HYPERLINK("https://www.compass.com/listing/111-50-144th-street-queens-ny-11435/29139618817428993/view?agent_id=610d3f3370540700019b0833","111-50 144th Street")</f>
        <v>111-50 144th Street</v>
      </c>
      <c r="C180" s="15" t="s">
        <v>37</v>
      </c>
      <c r="D180" s="16" t="s">
        <v>23</v>
      </c>
      <c r="E180" s="17" t="str">
        <f>HYPERLINK("https://www.compass.com/building/111-50-144th-st-queens-ny-11435/293417816051193925/","111-50 144th St")</f>
        <v>111-50 144th St</v>
      </c>
      <c r="F180" s="15" t="s">
        <v>24</v>
      </c>
      <c r="G180" s="18">
        <v>280000</v>
      </c>
      <c r="H180" s="18"/>
      <c r="I180" s="18">
        <v>261</v>
      </c>
      <c r="J180" s="18">
        <v>3128</v>
      </c>
      <c r="K180" s="15" t="s">
        <v>38</v>
      </c>
      <c r="L180" s="16">
        <v>6</v>
      </c>
      <c r="M180" s="16">
        <v>2</v>
      </c>
      <c r="N180" s="16">
        <v>1</v>
      </c>
      <c r="O180" s="16">
        <v>0</v>
      </c>
      <c r="P180" s="16"/>
      <c r="Q180" s="19">
        <v>20</v>
      </c>
      <c r="R180" s="20">
        <v>45626</v>
      </c>
      <c r="S180" s="20">
        <v>42738</v>
      </c>
      <c r="T180" s="18">
        <v>280000</v>
      </c>
      <c r="U180" s="20">
        <v>42790</v>
      </c>
      <c r="V180" s="1"/>
    </row>
    <row r="181" spans="1:22" ht="24" customHeight="1">
      <c r="A181" s="1"/>
      <c r="B181" s="14" t="str">
        <f>HYPERLINK("https://www.compass.com/listing/139-28-lakewood-avenue-queens-ny-11435/1730617676892946905/view?agent_id=610d3f3370540700019b0833","139-28 Lakewood Avenue")</f>
        <v>139-28 Lakewood Avenue</v>
      </c>
      <c r="C181" s="15" t="s">
        <v>37</v>
      </c>
      <c r="D181" s="16" t="s">
        <v>23</v>
      </c>
      <c r="E181" s="17" t="str">
        <f>HYPERLINK("https://www.compass.com/building/139-28-lakewood-ave-queens-ny-11435/293533027315835717/","139-28 Lakewood Ave")</f>
        <v>139-28 Lakewood Ave</v>
      </c>
      <c r="F181" s="15" t="s">
        <v>24</v>
      </c>
      <c r="G181" s="18">
        <v>270000</v>
      </c>
      <c r="H181" s="18"/>
      <c r="I181" s="18">
        <v>139</v>
      </c>
      <c r="J181" s="18">
        <v>1667</v>
      </c>
      <c r="K181" s="15" t="s">
        <v>38</v>
      </c>
      <c r="L181" s="16">
        <v>5</v>
      </c>
      <c r="M181" s="16">
        <v>2</v>
      </c>
      <c r="N181" s="16">
        <v>1</v>
      </c>
      <c r="O181" s="16"/>
      <c r="P181" s="16"/>
      <c r="Q181" s="19">
        <v>50</v>
      </c>
      <c r="R181" s="20">
        <v>45617</v>
      </c>
      <c r="S181" s="20">
        <v>41549</v>
      </c>
      <c r="T181" s="18">
        <v>270000</v>
      </c>
      <c r="U181" s="20">
        <v>41696</v>
      </c>
      <c r="V181" s="1"/>
    </row>
    <row r="182" spans="1:22" ht="24" customHeight="1">
      <c r="A182" s="1"/>
      <c r="B182" s="14" t="str">
        <f>HYPERLINK("https://www.compass.com/listing/139-10-glassboro-avenue-queens-ny-11435/210837738314921617/view?agent_id=610d3f3370540700019b0833","139-10 Glassboro Avenue")</f>
        <v>139-10 Glassboro Avenue</v>
      </c>
      <c r="C182" s="15" t="s">
        <v>37</v>
      </c>
      <c r="D182" s="16" t="s">
        <v>23</v>
      </c>
      <c r="E182" s="17" t="str">
        <f>HYPERLINK("https://www.compass.com/building/139-10-glassboro-ave-queens-ny-11435/293534750738491749/","139-10 Glassboro Ave")</f>
        <v>139-10 Glassboro Ave</v>
      </c>
      <c r="F182" s="15" t="s">
        <v>24</v>
      </c>
      <c r="G182" s="18">
        <v>300000</v>
      </c>
      <c r="H182" s="18">
        <v>282</v>
      </c>
      <c r="I182" s="18">
        <v>191</v>
      </c>
      <c r="J182" s="18">
        <v>2294</v>
      </c>
      <c r="K182" s="15" t="s">
        <v>38</v>
      </c>
      <c r="L182" s="16">
        <v>3</v>
      </c>
      <c r="M182" s="16">
        <v>2</v>
      </c>
      <c r="N182" s="16">
        <v>1</v>
      </c>
      <c r="O182" s="16"/>
      <c r="P182" s="21">
        <v>1064</v>
      </c>
      <c r="Q182" s="19">
        <v>184</v>
      </c>
      <c r="R182" s="20">
        <v>43357</v>
      </c>
      <c r="S182" s="20">
        <v>43116</v>
      </c>
      <c r="T182" s="18">
        <v>300000</v>
      </c>
      <c r="U182" s="20">
        <v>43354</v>
      </c>
      <c r="V182" s="1"/>
    </row>
    <row r="183" spans="1:22" ht="24" customHeight="1">
      <c r="A183" s="1"/>
      <c r="B183" s="14" t="str">
        <f>HYPERLINK("https://www.compass.com/listing/107-67-remington-street-queens-ny-11435/689959604218333049/view?agent_id=610d3f3370540700019b0833","107-67 Remington Street")</f>
        <v>107-67 Remington Street</v>
      </c>
      <c r="C183" s="15" t="s">
        <v>37</v>
      </c>
      <c r="D183" s="16" t="s">
        <v>23</v>
      </c>
      <c r="E183" s="17" t="str">
        <f>HYPERLINK("https://www.compass.com/building/107-67-remington-st-queens-ny-11435/293418393816535429/","107-67 Remington St")</f>
        <v>107-67 Remington St</v>
      </c>
      <c r="F183" s="15" t="s">
        <v>24</v>
      </c>
      <c r="G183" s="18">
        <v>290000</v>
      </c>
      <c r="H183" s="18"/>
      <c r="I183" s="18">
        <v>163</v>
      </c>
      <c r="J183" s="18">
        <v>1955</v>
      </c>
      <c r="K183" s="15" t="s">
        <v>38</v>
      </c>
      <c r="L183" s="16">
        <v>5</v>
      </c>
      <c r="M183" s="16">
        <v>2</v>
      </c>
      <c r="N183" s="16">
        <v>1</v>
      </c>
      <c r="O183" s="16"/>
      <c r="P183" s="16"/>
      <c r="Q183" s="19">
        <v>111</v>
      </c>
      <c r="R183" s="20">
        <v>45597</v>
      </c>
      <c r="S183" s="20">
        <v>44203</v>
      </c>
      <c r="T183" s="18">
        <v>290000</v>
      </c>
      <c r="U183" s="20">
        <v>44351</v>
      </c>
      <c r="V183" s="1"/>
    </row>
    <row r="184" spans="1:22" ht="24" customHeight="1">
      <c r="A184" s="1"/>
      <c r="B184" s="14" t="str">
        <f>HYPERLINK("https://www.compass.com/listing/146-16-106th-avenue-queens-ny-11435/1730504461940638185/view?agent_id=610d3f3370540700019b0833","146-16 106th Avenue")</f>
        <v>146-16 106th Avenue</v>
      </c>
      <c r="C184" s="15" t="s">
        <v>37</v>
      </c>
      <c r="D184" s="16" t="s">
        <v>23</v>
      </c>
      <c r="E184" s="17" t="str">
        <f>HYPERLINK("https://www.compass.com/building/146-16-106th-ave-queens-ny-11435/293533478228611157/","146-16 106th Ave")</f>
        <v>146-16 106th Ave</v>
      </c>
      <c r="F184" s="15" t="s">
        <v>24</v>
      </c>
      <c r="G184" s="18">
        <v>245000</v>
      </c>
      <c r="H184" s="18"/>
      <c r="I184" s="18">
        <v>139</v>
      </c>
      <c r="J184" s="18">
        <v>1662</v>
      </c>
      <c r="K184" s="15" t="s">
        <v>38</v>
      </c>
      <c r="L184" s="16">
        <v>5</v>
      </c>
      <c r="M184" s="16">
        <v>2</v>
      </c>
      <c r="N184" s="16">
        <v>1</v>
      </c>
      <c r="O184" s="16"/>
      <c r="P184" s="16"/>
      <c r="Q184" s="19">
        <v>16</v>
      </c>
      <c r="R184" s="20">
        <v>45623</v>
      </c>
      <c r="S184" s="20">
        <v>41772</v>
      </c>
      <c r="T184" s="18">
        <v>245000</v>
      </c>
      <c r="U184" s="20">
        <v>41821</v>
      </c>
      <c r="V184" s="1"/>
    </row>
    <row r="185" spans="1:22" ht="24" customHeight="1">
      <c r="A185" s="1"/>
      <c r="B185" s="14" t="str">
        <f>HYPERLINK("https://www.compass.com/listing/106-41-pinegrove-street-queens-ny-11435/111554117377202785/view?agent_id=610d3f3370540700019b0833","106-41 Pinegrove St")</f>
        <v>106-41 Pinegrove St</v>
      </c>
      <c r="C185" s="15" t="s">
        <v>37</v>
      </c>
      <c r="D185" s="16" t="s">
        <v>23</v>
      </c>
      <c r="E185" s="17" t="str">
        <f>HYPERLINK("https://www.compass.com/building/106-41-pinegrove-st-queens-ny-11435/293417467764581973/","106-41 Pinegrove St")</f>
        <v>106-41 Pinegrove St</v>
      </c>
      <c r="F185" s="15" t="s">
        <v>24</v>
      </c>
      <c r="G185" s="18">
        <v>300000</v>
      </c>
      <c r="H185" s="18">
        <v>250</v>
      </c>
      <c r="I185" s="18">
        <v>183</v>
      </c>
      <c r="J185" s="18">
        <v>2200</v>
      </c>
      <c r="K185" s="15" t="s">
        <v>38</v>
      </c>
      <c r="L185" s="16"/>
      <c r="M185" s="16">
        <v>2</v>
      </c>
      <c r="N185" s="16">
        <v>1</v>
      </c>
      <c r="O185" s="16">
        <v>0</v>
      </c>
      <c r="P185" s="21">
        <v>1200</v>
      </c>
      <c r="Q185" s="19">
        <v>105</v>
      </c>
      <c r="R185" s="20">
        <v>44406</v>
      </c>
      <c r="S185" s="20">
        <v>43194</v>
      </c>
      <c r="T185" s="18">
        <v>300000</v>
      </c>
      <c r="U185" s="20">
        <v>43370</v>
      </c>
      <c r="V185" s="1"/>
    </row>
    <row r="186" spans="1:22" ht="24" customHeight="1">
      <c r="A186" s="1"/>
      <c r="B186" s="14" t="str">
        <f>HYPERLINK("https://www.compass.com/listing/111-35-145th-street-queens-ny-11435/1287921137724672673/view?agent_id=610d3f3370540700019b0833","111-35 145th Street")</f>
        <v>111-35 145th Street</v>
      </c>
      <c r="C186" s="15" t="s">
        <v>37</v>
      </c>
      <c r="D186" s="16" t="s">
        <v>23</v>
      </c>
      <c r="E186" s="17" t="str">
        <f>HYPERLINK("https://www.compass.com/building/111-35-145th-st-queens-ny-11435/293530004388603605/","111-35 145th St")</f>
        <v>111-35 145th St</v>
      </c>
      <c r="F186" s="15" t="s">
        <v>24</v>
      </c>
      <c r="G186" s="18">
        <v>350000</v>
      </c>
      <c r="H186" s="18"/>
      <c r="I186" s="18">
        <v>290</v>
      </c>
      <c r="J186" s="18">
        <v>3478</v>
      </c>
      <c r="K186" s="15" t="s">
        <v>38</v>
      </c>
      <c r="L186" s="16">
        <v>6</v>
      </c>
      <c r="M186" s="16">
        <v>2</v>
      </c>
      <c r="N186" s="16">
        <v>1</v>
      </c>
      <c r="O186" s="16"/>
      <c r="P186" s="16"/>
      <c r="Q186" s="19">
        <v>98</v>
      </c>
      <c r="R186" s="20">
        <v>45617</v>
      </c>
      <c r="S186" s="20">
        <v>45026</v>
      </c>
      <c r="T186" s="18">
        <v>350000</v>
      </c>
      <c r="U186" s="20">
        <v>45243</v>
      </c>
      <c r="V186" s="1"/>
    </row>
    <row r="187" spans="1:22" ht="24" customHeight="1">
      <c r="A187" s="1"/>
      <c r="B187" s="14" t="str">
        <f>HYPERLINK("https://www.compass.com/listing/139-24-glassboro-avenue-queens-ny-11435/197765525537846193/view?agent_id=610d3f3370540700019b0833","139-24 Glassboro Avenue")</f>
        <v>139-24 Glassboro Avenue</v>
      </c>
      <c r="C187" s="15" t="s">
        <v>37</v>
      </c>
      <c r="D187" s="16" t="s">
        <v>23</v>
      </c>
      <c r="E187" s="17" t="str">
        <f>HYPERLINK("https://www.compass.com/building/139-24-glassboro-ave-queens-ny-11435/293535508238229125/","139-24 Glassboro Ave")</f>
        <v>139-24 Glassboro Ave</v>
      </c>
      <c r="F187" s="15" t="s">
        <v>24</v>
      </c>
      <c r="G187" s="18">
        <v>340000</v>
      </c>
      <c r="H187" s="18">
        <v>347</v>
      </c>
      <c r="I187" s="18">
        <v>214</v>
      </c>
      <c r="J187" s="18">
        <v>2563</v>
      </c>
      <c r="K187" s="15" t="s">
        <v>38</v>
      </c>
      <c r="L187" s="16">
        <v>5</v>
      </c>
      <c r="M187" s="16">
        <v>2</v>
      </c>
      <c r="N187" s="16">
        <v>1</v>
      </c>
      <c r="O187" s="16"/>
      <c r="P187" s="16">
        <v>980</v>
      </c>
      <c r="Q187" s="19">
        <v>148</v>
      </c>
      <c r="R187" s="20">
        <v>45626</v>
      </c>
      <c r="S187" s="20">
        <v>43018</v>
      </c>
      <c r="T187" s="18">
        <v>340000</v>
      </c>
      <c r="U187" s="20">
        <v>43251</v>
      </c>
      <c r="V187" s="1"/>
    </row>
    <row r="188" spans="1:22" ht="24" customHeight="1">
      <c r="A188" s="1"/>
      <c r="B188" s="14" t="str">
        <f>HYPERLINK("https://www.compass.com/listing/109-36-liverpool-street-queens-ny-11435/805028055063986777/view?agent_id=610d3f3370540700019b0833","109-36 Liverpool Street")</f>
        <v>109-36 Liverpool Street</v>
      </c>
      <c r="C188" s="15" t="s">
        <v>37</v>
      </c>
      <c r="D188" s="16" t="s">
        <v>23</v>
      </c>
      <c r="E188" s="17" t="str">
        <f>HYPERLINK("https://www.compass.com/building/109-36-liverpool-st-queens-ny-11435/293529651010085493/","109-36 Liverpool St")</f>
        <v>109-36 Liverpool St</v>
      </c>
      <c r="F188" s="15" t="s">
        <v>24</v>
      </c>
      <c r="G188" s="18">
        <v>570000</v>
      </c>
      <c r="H188" s="18"/>
      <c r="I188" s="18">
        <v>83</v>
      </c>
      <c r="J188" s="18">
        <v>1000</v>
      </c>
      <c r="K188" s="15" t="s">
        <v>38</v>
      </c>
      <c r="L188" s="16">
        <v>6</v>
      </c>
      <c r="M188" s="16">
        <v>2</v>
      </c>
      <c r="N188" s="16">
        <v>1</v>
      </c>
      <c r="O188" s="16"/>
      <c r="P188" s="16"/>
      <c r="Q188" s="19">
        <v>18</v>
      </c>
      <c r="R188" s="20">
        <v>45597</v>
      </c>
      <c r="S188" s="20">
        <v>44361</v>
      </c>
      <c r="T188" s="18">
        <v>570000</v>
      </c>
      <c r="U188" s="20">
        <v>44420</v>
      </c>
      <c r="V188" s="1"/>
    </row>
    <row r="189" spans="1:22" ht="24" customHeight="1">
      <c r="A189" s="1"/>
      <c r="B189" s="14" t="str">
        <f>HYPERLINK("https://www.compass.com/listing/144-19-106th-avenue-queens-ny-11435/1146996952760707449/view?agent_id=610d3f3370540700019b0833","144-19 106th Ave")</f>
        <v>144-19 106th Ave</v>
      </c>
      <c r="C189" s="15" t="s">
        <v>37</v>
      </c>
      <c r="D189" s="16" t="s">
        <v>23</v>
      </c>
      <c r="E189" s="17" t="str">
        <f>HYPERLINK("https://www.compass.com/building/144-19-106th-ave-queens-ny-11435/293417943230930181/","144-19 106th Ave")</f>
        <v>144-19 106th Ave</v>
      </c>
      <c r="F189" s="15" t="s">
        <v>24</v>
      </c>
      <c r="G189" s="18">
        <v>950000</v>
      </c>
      <c r="H189" s="18"/>
      <c r="I189" s="18">
        <v>0</v>
      </c>
      <c r="J189" s="18">
        <v>0</v>
      </c>
      <c r="K189" s="15" t="s">
        <v>49</v>
      </c>
      <c r="L189" s="16"/>
      <c r="M189" s="16">
        <v>2</v>
      </c>
      <c r="N189" s="16">
        <v>1</v>
      </c>
      <c r="O189" s="16">
        <v>0</v>
      </c>
      <c r="P189" s="16"/>
      <c r="Q189" s="19"/>
      <c r="R189" s="20"/>
      <c r="S189" s="20"/>
      <c r="T189" s="18">
        <v>950000</v>
      </c>
      <c r="U189" s="20">
        <v>44803</v>
      </c>
      <c r="V189" s="1"/>
    </row>
    <row r="190" spans="1:22" ht="24" customHeight="1">
      <c r="A190" s="1"/>
      <c r="B190" s="14" t="str">
        <f>HYPERLINK("https://www.compass.com/listing/143-18-lakewood-avenue-queens-ny-11435/197767802508118113/view?agent_id=610d3f3370540700019b0833","143-18 Lakewood Avenue")</f>
        <v>143-18 Lakewood Avenue</v>
      </c>
      <c r="C190" s="15" t="s">
        <v>37</v>
      </c>
      <c r="D190" s="16" t="s">
        <v>23</v>
      </c>
      <c r="E190" s="17" t="str">
        <f>HYPERLINK("https://www.compass.com/building/143-18-lakewood-ave-queens-ny-11435/293527147732015061/","143-18 Lakewood Ave")</f>
        <v>143-18 Lakewood Ave</v>
      </c>
      <c r="F190" s="15" t="s">
        <v>24</v>
      </c>
      <c r="G190" s="18">
        <v>550000</v>
      </c>
      <c r="H190" s="18"/>
      <c r="I190" s="18">
        <v>303</v>
      </c>
      <c r="J190" s="18">
        <v>3639</v>
      </c>
      <c r="K190" s="15" t="s">
        <v>50</v>
      </c>
      <c r="L190" s="16">
        <v>2</v>
      </c>
      <c r="M190" s="16">
        <v>2</v>
      </c>
      <c r="N190" s="16">
        <v>1</v>
      </c>
      <c r="O190" s="16"/>
      <c r="P190" s="16"/>
      <c r="Q190" s="19">
        <v>94</v>
      </c>
      <c r="R190" s="20">
        <v>45636</v>
      </c>
      <c r="S190" s="20">
        <v>43223</v>
      </c>
      <c r="T190" s="18">
        <v>550000</v>
      </c>
      <c r="U190" s="20">
        <v>43396</v>
      </c>
      <c r="V190" s="1"/>
    </row>
    <row r="191" spans="1:22" ht="24" customHeight="1">
      <c r="A191" s="1"/>
      <c r="B191" s="14" t="str">
        <f>HYPERLINK("https://www.compass.com/listing/139-19-glassboro-avenue-queens-ny-11435/29139436927205745/view?agent_id=610d3f3370540700019b0833","139-19 Glassboro Ave")</f>
        <v>139-19 Glassboro Ave</v>
      </c>
      <c r="C191" s="15" t="s">
        <v>37</v>
      </c>
      <c r="D191" s="16" t="s">
        <v>23</v>
      </c>
      <c r="E191" s="17" t="str">
        <f t="shared" ref="E191:E194" si="17">HYPERLINK("https://www.compass.com/building/139-19-glassboro-ave-queens-ny-11435/293527834297647909/","139-19 Glassboro Ave")</f>
        <v>139-19 Glassboro Ave</v>
      </c>
      <c r="F191" s="15" t="s">
        <v>24</v>
      </c>
      <c r="G191" s="18">
        <v>278100</v>
      </c>
      <c r="H191" s="18">
        <v>315</v>
      </c>
      <c r="I191" s="18">
        <v>111</v>
      </c>
      <c r="J191" s="18">
        <v>1329</v>
      </c>
      <c r="K191" s="15" t="s">
        <v>30</v>
      </c>
      <c r="L191" s="16"/>
      <c r="M191" s="16">
        <v>2</v>
      </c>
      <c r="N191" s="16">
        <v>1</v>
      </c>
      <c r="O191" s="16"/>
      <c r="P191" s="16">
        <v>882</v>
      </c>
      <c r="Q191" s="19"/>
      <c r="R191" s="20"/>
      <c r="S191" s="20"/>
      <c r="T191" s="18">
        <v>278100</v>
      </c>
      <c r="U191" s="20">
        <v>38616</v>
      </c>
      <c r="V191" s="1"/>
    </row>
    <row r="192" spans="1:22" ht="24" customHeight="1">
      <c r="A192" s="1"/>
      <c r="B192" s="14" t="str">
        <f>HYPERLINK("https://www.compass.com/listing/139-19-glassboro-avenue-queens-ny-11435/29139436927205777/view?agent_id=610d3f3370540700019b0833","139-19 Glassboro Ave")</f>
        <v>139-19 Glassboro Ave</v>
      </c>
      <c r="C192" s="15" t="s">
        <v>37</v>
      </c>
      <c r="D192" s="16" t="s">
        <v>23</v>
      </c>
      <c r="E192" s="17" t="str">
        <f t="shared" si="17"/>
        <v>139-19 Glassboro Ave</v>
      </c>
      <c r="F192" s="15" t="s">
        <v>24</v>
      </c>
      <c r="G192" s="18">
        <v>260000</v>
      </c>
      <c r="H192" s="18">
        <v>295</v>
      </c>
      <c r="I192" s="18">
        <v>111</v>
      </c>
      <c r="J192" s="18">
        <v>1329</v>
      </c>
      <c r="K192" s="15" t="s">
        <v>30</v>
      </c>
      <c r="L192" s="16"/>
      <c r="M192" s="16">
        <v>2</v>
      </c>
      <c r="N192" s="16">
        <v>1</v>
      </c>
      <c r="O192" s="16"/>
      <c r="P192" s="16">
        <v>882</v>
      </c>
      <c r="Q192" s="19"/>
      <c r="R192" s="20"/>
      <c r="S192" s="20"/>
      <c r="T192" s="18">
        <v>260000</v>
      </c>
      <c r="U192" s="20">
        <v>39430</v>
      </c>
      <c r="V192" s="1"/>
    </row>
    <row r="193" spans="1:22" ht="24" customHeight="1">
      <c r="A193" s="1"/>
      <c r="B193" s="14" t="str">
        <f>HYPERLINK("https://www.compass.com/listing/139-19-glassboro-avenue-queens-ny-11435/29139436927205793/view?agent_id=610d3f3370540700019b0833","139-19 Glassboro Ave")</f>
        <v>139-19 Glassboro Ave</v>
      </c>
      <c r="C193" s="15" t="s">
        <v>37</v>
      </c>
      <c r="D193" s="16" t="s">
        <v>23</v>
      </c>
      <c r="E193" s="17" t="str">
        <f t="shared" si="17"/>
        <v>139-19 Glassboro Ave</v>
      </c>
      <c r="F193" s="15" t="s">
        <v>24</v>
      </c>
      <c r="G193" s="18">
        <v>215000</v>
      </c>
      <c r="H193" s="18">
        <v>244</v>
      </c>
      <c r="I193" s="18">
        <v>130</v>
      </c>
      <c r="J193" s="18">
        <v>1555</v>
      </c>
      <c r="K193" s="15" t="s">
        <v>30</v>
      </c>
      <c r="L193" s="16"/>
      <c r="M193" s="16">
        <v>2</v>
      </c>
      <c r="N193" s="16">
        <v>1</v>
      </c>
      <c r="O193" s="16"/>
      <c r="P193" s="16">
        <v>882</v>
      </c>
      <c r="Q193" s="19"/>
      <c r="R193" s="20"/>
      <c r="S193" s="20"/>
      <c r="T193" s="18">
        <v>215000</v>
      </c>
      <c r="U193" s="20">
        <v>42528</v>
      </c>
      <c r="V193" s="1"/>
    </row>
    <row r="194" spans="1:22" ht="24" customHeight="1">
      <c r="A194" s="1"/>
      <c r="B194" s="14" t="str">
        <f>HYPERLINK("https://www.compass.com/listing/139-19-glassboro-avenue-queens-ny-11435/74603124165195905/view?agent_id=610d3f3370540700019b0833","139-19 Glassboro Ave")</f>
        <v>139-19 Glassboro Ave</v>
      </c>
      <c r="C194" s="15" t="s">
        <v>37</v>
      </c>
      <c r="D194" s="16" t="s">
        <v>23</v>
      </c>
      <c r="E194" s="17" t="str">
        <f t="shared" si="17"/>
        <v>139-19 Glassboro Ave</v>
      </c>
      <c r="F194" s="15" t="s">
        <v>24</v>
      </c>
      <c r="G194" s="18">
        <v>400000</v>
      </c>
      <c r="H194" s="18">
        <v>454</v>
      </c>
      <c r="I194" s="18">
        <v>130</v>
      </c>
      <c r="J194" s="18">
        <v>1555</v>
      </c>
      <c r="K194" s="15" t="s">
        <v>30</v>
      </c>
      <c r="L194" s="16"/>
      <c r="M194" s="16">
        <v>2</v>
      </c>
      <c r="N194" s="16">
        <v>1</v>
      </c>
      <c r="O194" s="16"/>
      <c r="P194" s="16">
        <v>882</v>
      </c>
      <c r="Q194" s="19"/>
      <c r="R194" s="20"/>
      <c r="S194" s="20"/>
      <c r="T194" s="18">
        <v>400000</v>
      </c>
      <c r="U194" s="20">
        <v>43328</v>
      </c>
      <c r="V194" s="1"/>
    </row>
    <row r="195" spans="1:22" ht="24" customHeight="1">
      <c r="A195" s="1"/>
      <c r="B195" s="14" t="str">
        <f>HYPERLINK("https://www.compass.com/listing/111-34-139th-street-queens-ny-11435/1735716071048370129/view?agent_id=610d3f3370540700019b0833","111-34 139th St")</f>
        <v>111-34 139th St</v>
      </c>
      <c r="C195" s="15" t="s">
        <v>37</v>
      </c>
      <c r="D195" s="16" t="s">
        <v>23</v>
      </c>
      <c r="E195" s="17" t="str">
        <f>HYPERLINK("https://www.compass.com/building/111-34-139th-st-queens-ny-11435/293528110895328037/","111-34 139th St")</f>
        <v>111-34 139th St</v>
      </c>
      <c r="F195" s="15" t="s">
        <v>24</v>
      </c>
      <c r="G195" s="18">
        <v>495000</v>
      </c>
      <c r="H195" s="18">
        <v>491</v>
      </c>
      <c r="I195" s="18">
        <v>322</v>
      </c>
      <c r="J195" s="18">
        <v>3864</v>
      </c>
      <c r="K195" s="15" t="s">
        <v>30</v>
      </c>
      <c r="L195" s="16"/>
      <c r="M195" s="16">
        <v>2</v>
      </c>
      <c r="N195" s="16">
        <v>1</v>
      </c>
      <c r="O195" s="16"/>
      <c r="P195" s="21">
        <v>1008</v>
      </c>
      <c r="Q195" s="19"/>
      <c r="R195" s="20"/>
      <c r="S195" s="20"/>
      <c r="T195" s="18">
        <v>495000</v>
      </c>
      <c r="U195" s="20">
        <v>45219</v>
      </c>
      <c r="V195" s="1"/>
    </row>
    <row r="196" spans="1:22" ht="24" customHeight="1">
      <c r="A196" s="1"/>
      <c r="B196" s="14" t="str">
        <f>HYPERLINK("https://www.compass.com/listing/139-19-glassboro-avenue-queens-ny-11435/29139436927205761/view?agent_id=610d3f3370540700019b0833","139-19 Glassboro Ave")</f>
        <v>139-19 Glassboro Ave</v>
      </c>
      <c r="C196" s="15" t="s">
        <v>37</v>
      </c>
      <c r="D196" s="16" t="s">
        <v>23</v>
      </c>
      <c r="E196" s="17" t="str">
        <f>HYPERLINK("https://www.compass.com/building/139-19-glassboro-ave-queens-ny-11435/293527834297647909/","139-19 Glassboro Ave")</f>
        <v>139-19 Glassboro Ave</v>
      </c>
      <c r="F196" s="15" t="s">
        <v>24</v>
      </c>
      <c r="G196" s="18">
        <v>365000</v>
      </c>
      <c r="H196" s="18">
        <v>414</v>
      </c>
      <c r="I196" s="18">
        <v>111</v>
      </c>
      <c r="J196" s="18">
        <v>1329</v>
      </c>
      <c r="K196" s="15" t="s">
        <v>30</v>
      </c>
      <c r="L196" s="16"/>
      <c r="M196" s="16">
        <v>2</v>
      </c>
      <c r="N196" s="16">
        <v>1</v>
      </c>
      <c r="O196" s="16"/>
      <c r="P196" s="16">
        <v>882</v>
      </c>
      <c r="Q196" s="19"/>
      <c r="R196" s="20"/>
      <c r="S196" s="20"/>
      <c r="T196" s="18">
        <v>365000</v>
      </c>
      <c r="U196" s="20">
        <v>38929</v>
      </c>
      <c r="V196" s="1"/>
    </row>
    <row r="197" spans="1:22" ht="24" customHeight="1">
      <c r="A197" s="1"/>
      <c r="B197" s="14" t="str">
        <f>HYPERLINK("https://www.compass.com/listing/111-55-145th-street-queens-ny-11435/1764876016288763337/view?agent_id=610d3f3370540700019b0833","111-55 145th St")</f>
        <v>111-55 145th St</v>
      </c>
      <c r="C197" s="15" t="s">
        <v>37</v>
      </c>
      <c r="D197" s="16" t="s">
        <v>23</v>
      </c>
      <c r="E197" s="17" t="str">
        <f>HYPERLINK("https://www.compass.com/building/111-55-145th-st-queens-ny-11435/293528685900835509/","111-55 145th St")</f>
        <v>111-55 145th St</v>
      </c>
      <c r="F197" s="15" t="s">
        <v>24</v>
      </c>
      <c r="G197" s="18">
        <v>450000</v>
      </c>
      <c r="H197" s="18">
        <v>355</v>
      </c>
      <c r="I197" s="18">
        <v>350</v>
      </c>
      <c r="J197" s="18">
        <v>4204</v>
      </c>
      <c r="K197" s="15" t="s">
        <v>30</v>
      </c>
      <c r="L197" s="16"/>
      <c r="M197" s="16">
        <v>2</v>
      </c>
      <c r="N197" s="16">
        <v>1</v>
      </c>
      <c r="O197" s="16"/>
      <c r="P197" s="21">
        <v>1266</v>
      </c>
      <c r="Q197" s="19"/>
      <c r="R197" s="20"/>
      <c r="S197" s="20"/>
      <c r="T197" s="18">
        <v>450000</v>
      </c>
      <c r="U197" s="20">
        <v>45182</v>
      </c>
      <c r="V197" s="1"/>
    </row>
    <row r="198" spans="1:22" ht="24" customHeight="1">
      <c r="A198" s="1"/>
      <c r="B198" s="22" t="s">
        <v>31</v>
      </c>
      <c r="C198" s="22"/>
      <c r="D198" s="23"/>
      <c r="E198" s="23"/>
      <c r="F198" s="22"/>
      <c r="G198" s="24">
        <f ca="1">IFERROR(__xludf.DUMMYFUNCTION("TO_DOLLARS(IFERROR(AVERAGE(G34:G197)))"),270387.067901234)</f>
        <v>270387.06790123403</v>
      </c>
      <c r="H198" s="24">
        <f ca="1">IFERROR(__xludf.DUMMYFUNCTION("TO_DOLLARS(IFERROR(AVERAGE(H34:H197)))"),309.115942028985)</f>
        <v>309.11594202898499</v>
      </c>
      <c r="I198" s="24">
        <f ca="1">IFERROR(__xludf.DUMMYFUNCTION("TO_DOLLARS(IFERROR(AVERAGE(I34:I197)))"),273.176829268292)</f>
        <v>273.17682926829201</v>
      </c>
      <c r="J198" s="24">
        <f ca="1">IFERROR(__xludf.DUMMYFUNCTION("TO_DOLLARS(IFERROR(AVERAGE(J34:J197)))"),1917.77848101265)</f>
        <v>1917.77848101265</v>
      </c>
      <c r="K198" s="22"/>
      <c r="L198" s="23"/>
      <c r="M198" s="23"/>
      <c r="N198" s="23"/>
      <c r="O198" s="23"/>
      <c r="P198" s="23">
        <f t="shared" ref="P198:Q198" si="18">IFERROR(AVERAGE(P34:P197),"")</f>
        <v>1041.2173913043478</v>
      </c>
      <c r="Q198" s="25">
        <f t="shared" si="18"/>
        <v>133.15079365079364</v>
      </c>
      <c r="R198" s="26"/>
      <c r="S198" s="26"/>
      <c r="T198" s="24">
        <f ca="1">IFERROR(__xludf.DUMMYFUNCTION("TO_DOLLARS(IFERROR(AVERAGE(T34:T197)))"),270387.067901234)</f>
        <v>270387.06790123403</v>
      </c>
      <c r="U198" s="26"/>
      <c r="V198" s="1"/>
    </row>
    <row r="199" spans="1:22" ht="24" customHeight="1">
      <c r="A199" s="1"/>
      <c r="B199" s="27" t="s">
        <v>32</v>
      </c>
      <c r="C199" s="27"/>
      <c r="D199" s="28"/>
      <c r="E199" s="28"/>
      <c r="F199" s="27"/>
      <c r="G199" s="29">
        <f ca="1">IFERROR(__xludf.DUMMYFUNCTION("TO_DOLLARS(IFERROR(MEDIAN(G34:G197)))"),250000)</f>
        <v>250000</v>
      </c>
      <c r="H199" s="29">
        <f ca="1">IFERROR(__xludf.DUMMYFUNCTION("TO_DOLLARS(IFERROR(MEDIAN(H34:H197)))"),278)</f>
        <v>278</v>
      </c>
      <c r="I199" s="29">
        <f ca="1">IFERROR(__xludf.DUMMYFUNCTION("TO_DOLLARS(IFERROR(MEDIAN(I34:I197)))"),220)</f>
        <v>220</v>
      </c>
      <c r="J199" s="29">
        <f ca="1">IFERROR(__xludf.DUMMYFUNCTION("TO_DOLLARS(IFERROR(MEDIAN(J34:J197)))"),1977.5)</f>
        <v>1977.5</v>
      </c>
      <c r="K199" s="27"/>
      <c r="L199" s="28"/>
      <c r="M199" s="28"/>
      <c r="N199" s="28"/>
      <c r="O199" s="28"/>
      <c r="P199" s="28">
        <f t="shared" ref="P199:Q199" si="19">IFERROR(MEDIAN(P34:P197),"")</f>
        <v>930</v>
      </c>
      <c r="Q199" s="30">
        <f t="shared" si="19"/>
        <v>92</v>
      </c>
      <c r="R199" s="31"/>
      <c r="S199" s="31"/>
      <c r="T199" s="29">
        <f ca="1">IFERROR(__xludf.DUMMYFUNCTION("TO_DOLLARS(IFERROR(MEDIAN(T34:T197)))"),250000)</f>
        <v>250000</v>
      </c>
      <c r="U199" s="31"/>
      <c r="V199" s="1"/>
    </row>
    <row r="200" spans="1:22" ht="13">
      <c r="A200" s="1"/>
      <c r="B200" s="2"/>
      <c r="C200" s="2"/>
      <c r="D200" s="2"/>
      <c r="E200" s="2"/>
      <c r="F200" s="2"/>
      <c r="G200" s="2"/>
      <c r="H200" s="2"/>
      <c r="I200" s="2"/>
      <c r="J200" s="2"/>
      <c r="K200" s="2"/>
      <c r="L200" s="2"/>
      <c r="M200" s="2"/>
      <c r="N200" s="2"/>
      <c r="O200" s="2"/>
      <c r="P200" s="2"/>
      <c r="Q200" s="2"/>
      <c r="R200" s="2"/>
      <c r="S200" s="2"/>
      <c r="T200" s="2"/>
      <c r="U200" s="2"/>
      <c r="V200" s="1"/>
    </row>
    <row r="201" spans="1:22" ht="24" customHeight="1">
      <c r="A201" s="1"/>
      <c r="B201" s="33" t="s">
        <v>51</v>
      </c>
      <c r="C201" s="34"/>
      <c r="D201" s="34"/>
      <c r="E201" s="34"/>
      <c r="F201" s="34"/>
      <c r="G201" s="34"/>
      <c r="H201" s="34"/>
      <c r="I201" s="34"/>
      <c r="J201" s="34"/>
      <c r="K201" s="34"/>
      <c r="L201" s="34"/>
      <c r="M201" s="34"/>
      <c r="N201" s="34"/>
      <c r="O201" s="34"/>
      <c r="P201" s="34"/>
      <c r="Q201" s="34"/>
      <c r="R201" s="34"/>
      <c r="S201" s="34"/>
      <c r="T201" s="34"/>
      <c r="U201" s="35"/>
      <c r="V201" s="1"/>
    </row>
    <row r="202" spans="1:22" ht="24" customHeight="1">
      <c r="A202" s="1"/>
      <c r="B202" s="4" t="s">
        <v>2</v>
      </c>
      <c r="C202" s="4" t="s">
        <v>3</v>
      </c>
      <c r="D202" s="5" t="s">
        <v>4</v>
      </c>
      <c r="E202" s="5" t="s">
        <v>5</v>
      </c>
      <c r="F202" s="4" t="s">
        <v>6</v>
      </c>
      <c r="G202" s="6" t="s">
        <v>7</v>
      </c>
      <c r="H202" s="6" t="s">
        <v>8</v>
      </c>
      <c r="I202" s="6" t="s">
        <v>9</v>
      </c>
      <c r="J202" s="6" t="s">
        <v>10</v>
      </c>
      <c r="K202" s="4" t="s">
        <v>11</v>
      </c>
      <c r="L202" s="5" t="s">
        <v>12</v>
      </c>
      <c r="M202" s="5" t="s">
        <v>13</v>
      </c>
      <c r="N202" s="5" t="s">
        <v>14</v>
      </c>
      <c r="O202" s="5" t="s">
        <v>15</v>
      </c>
      <c r="P202" s="5" t="s">
        <v>16</v>
      </c>
      <c r="Q202" s="6" t="s">
        <v>17</v>
      </c>
      <c r="R202" s="4" t="s">
        <v>18</v>
      </c>
      <c r="S202" s="4" t="s">
        <v>19</v>
      </c>
      <c r="T202" s="6" t="s">
        <v>20</v>
      </c>
      <c r="U202" s="4" t="s">
        <v>21</v>
      </c>
      <c r="V202" s="1"/>
    </row>
    <row r="203" spans="1:22" ht="24" customHeight="1">
      <c r="A203" s="1"/>
      <c r="B203" s="7" t="str">
        <f>HYPERLINK("https://www.compass.com/listing/87-70-173rd-street-unit-4d-queens-ny-11432/1598570084065967001/view?agent_id=610d3f3370540700019b0833","87-70 173rd Street, Unit 4D")</f>
        <v>87-70 173rd Street, Unit 4D</v>
      </c>
      <c r="C203" s="8" t="s">
        <v>52</v>
      </c>
      <c r="D203" s="9" t="s">
        <v>23</v>
      </c>
      <c r="E203" s="10" t="str">
        <f t="shared" ref="E203:E204" si="20">HYPERLINK("https://www.compass.com/building/87-70-173rd-st-queens-ny-11432/293417969093019925/","87-70 173rd St")</f>
        <v>87-70 173rd St</v>
      </c>
      <c r="F203" s="8" t="s">
        <v>27</v>
      </c>
      <c r="G203" s="11">
        <v>225000</v>
      </c>
      <c r="H203" s="11">
        <v>225</v>
      </c>
      <c r="I203" s="11">
        <v>910</v>
      </c>
      <c r="J203" s="11">
        <v>0</v>
      </c>
      <c r="K203" s="8" t="s">
        <v>28</v>
      </c>
      <c r="L203" s="9">
        <v>5</v>
      </c>
      <c r="M203" s="9">
        <v>2</v>
      </c>
      <c r="N203" s="9">
        <v>1</v>
      </c>
      <c r="O203" s="9"/>
      <c r="P203" s="32">
        <v>1000</v>
      </c>
      <c r="Q203" s="12"/>
      <c r="R203" s="13">
        <v>45470</v>
      </c>
      <c r="S203" s="13"/>
      <c r="T203" s="11"/>
      <c r="U203" s="13"/>
      <c r="V203" s="1"/>
    </row>
    <row r="204" spans="1:22" ht="24" customHeight="1">
      <c r="A204" s="1"/>
      <c r="B204" s="14" t="str">
        <f>HYPERLINK("https://www.compass.com/listing/87-70-173rd-street-unit-4d-queens-ny-11432/1239565452518267305/view?agent_id=610d3f3370540700019b0833","87-70 173rd Street, Unit 4D")</f>
        <v>87-70 173rd Street, Unit 4D</v>
      </c>
      <c r="C204" s="15" t="s">
        <v>52</v>
      </c>
      <c r="D204" s="16" t="s">
        <v>23</v>
      </c>
      <c r="E204" s="17" t="str">
        <f t="shared" si="20"/>
        <v>87-70 173rd St</v>
      </c>
      <c r="F204" s="15" t="s">
        <v>27</v>
      </c>
      <c r="G204" s="18">
        <v>225000</v>
      </c>
      <c r="H204" s="18">
        <v>188</v>
      </c>
      <c r="I204" s="18">
        <v>0</v>
      </c>
      <c r="J204" s="18">
        <v>0</v>
      </c>
      <c r="K204" s="15" t="s">
        <v>28</v>
      </c>
      <c r="L204" s="16">
        <v>5</v>
      </c>
      <c r="M204" s="16">
        <v>2</v>
      </c>
      <c r="N204" s="16">
        <v>1</v>
      </c>
      <c r="O204" s="16"/>
      <c r="P204" s="21">
        <v>1200</v>
      </c>
      <c r="Q204" s="19">
        <v>328</v>
      </c>
      <c r="R204" s="20">
        <v>45597</v>
      </c>
      <c r="S204" s="20">
        <v>44963</v>
      </c>
      <c r="T204" s="18"/>
      <c r="U204" s="20"/>
      <c r="V204" s="1"/>
    </row>
    <row r="205" spans="1:22" ht="24" customHeight="1">
      <c r="A205" s="1"/>
      <c r="B205" s="14" t="str">
        <f>HYPERLINK("https://www.compass.com/listing/107-44-164th-street-queens-ny-11433/1730724267260999945/view?agent_id=610d3f3370540700019b0833","107-44 164th Street")</f>
        <v>107-44 164th Street</v>
      </c>
      <c r="C205" s="15" t="s">
        <v>52</v>
      </c>
      <c r="D205" s="16" t="s">
        <v>23</v>
      </c>
      <c r="E205" s="17" t="str">
        <f>HYPERLINK("https://www.compass.com/building/107-44-164th-st-queens-ny-11433/293528163575677365/","107-44 164th St")</f>
        <v>107-44 164th St</v>
      </c>
      <c r="F205" s="15" t="s">
        <v>24</v>
      </c>
      <c r="G205" s="18">
        <v>229000</v>
      </c>
      <c r="H205" s="18">
        <v>215</v>
      </c>
      <c r="I205" s="18">
        <v>117</v>
      </c>
      <c r="J205" s="18">
        <v>1400</v>
      </c>
      <c r="K205" s="15" t="s">
        <v>26</v>
      </c>
      <c r="L205" s="16">
        <v>5</v>
      </c>
      <c r="M205" s="16">
        <v>2</v>
      </c>
      <c r="N205" s="16">
        <v>1</v>
      </c>
      <c r="O205" s="16"/>
      <c r="P205" s="21">
        <v>1065</v>
      </c>
      <c r="Q205" s="19">
        <v>121</v>
      </c>
      <c r="R205" s="20">
        <v>45597</v>
      </c>
      <c r="S205" s="20">
        <v>40938</v>
      </c>
      <c r="T205" s="18"/>
      <c r="U205" s="20"/>
      <c r="V205" s="1"/>
    </row>
    <row r="206" spans="1:22" ht="24" customHeight="1">
      <c r="A206" s="1"/>
      <c r="B206" s="14" t="str">
        <f>HYPERLINK("https://www.compass.com/listing/103-21-177th-street-queens-ny-11433/1730614510009027897/view?agent_id=610d3f3370540700019b0833","103-21 177th Street")</f>
        <v>103-21 177th Street</v>
      </c>
      <c r="C206" s="15" t="s">
        <v>52</v>
      </c>
      <c r="D206" s="16" t="s">
        <v>23</v>
      </c>
      <c r="E206" s="17" t="str">
        <f t="shared" ref="E206:E207" si="21">HYPERLINK("https://www.compass.com/building/103-21-177th-st-queens-ny-11433/293529426690350453/","103-21 177th St")</f>
        <v>103-21 177th St</v>
      </c>
      <c r="F206" s="15" t="s">
        <v>24</v>
      </c>
      <c r="G206" s="18">
        <v>255000</v>
      </c>
      <c r="H206" s="18">
        <v>239</v>
      </c>
      <c r="I206" s="18">
        <v>140</v>
      </c>
      <c r="J206" s="18">
        <v>1685</v>
      </c>
      <c r="K206" s="15" t="s">
        <v>26</v>
      </c>
      <c r="L206" s="16">
        <v>5</v>
      </c>
      <c r="M206" s="16">
        <v>2</v>
      </c>
      <c r="N206" s="16">
        <v>1</v>
      </c>
      <c r="O206" s="16"/>
      <c r="P206" s="21">
        <v>1065</v>
      </c>
      <c r="Q206" s="19">
        <v>215</v>
      </c>
      <c r="R206" s="20">
        <v>45597</v>
      </c>
      <c r="S206" s="20">
        <v>41470</v>
      </c>
      <c r="T206" s="18"/>
      <c r="U206" s="20"/>
      <c r="V206" s="1"/>
    </row>
    <row r="207" spans="1:22" ht="24" customHeight="1">
      <c r="A207" s="1"/>
      <c r="B207" s="14" t="str">
        <f>HYPERLINK("https://www.compass.com/listing/103-21-177th-street-queens-ny-11433/1730628536860848641/view?agent_id=610d3f3370540700019b0833","103-21 177th Street")</f>
        <v>103-21 177th Street</v>
      </c>
      <c r="C207" s="15" t="s">
        <v>52</v>
      </c>
      <c r="D207" s="16" t="s">
        <v>23</v>
      </c>
      <c r="E207" s="17" t="str">
        <f t="shared" si="21"/>
        <v>103-21 177th St</v>
      </c>
      <c r="F207" s="15" t="s">
        <v>24</v>
      </c>
      <c r="G207" s="18">
        <v>240000</v>
      </c>
      <c r="H207" s="18">
        <v>225</v>
      </c>
      <c r="I207" s="18">
        <v>140</v>
      </c>
      <c r="J207" s="18">
        <v>1685</v>
      </c>
      <c r="K207" s="15" t="s">
        <v>26</v>
      </c>
      <c r="L207" s="16">
        <v>5</v>
      </c>
      <c r="M207" s="16">
        <v>2</v>
      </c>
      <c r="N207" s="16">
        <v>1</v>
      </c>
      <c r="O207" s="16"/>
      <c r="P207" s="21">
        <v>1065</v>
      </c>
      <c r="Q207" s="19">
        <v>106</v>
      </c>
      <c r="R207" s="20">
        <v>45597</v>
      </c>
      <c r="S207" s="20">
        <v>41470</v>
      </c>
      <c r="T207" s="18"/>
      <c r="U207" s="20"/>
      <c r="V207" s="1"/>
    </row>
    <row r="208" spans="1:22" ht="24" customHeight="1">
      <c r="A208" s="1"/>
      <c r="B208" s="14" t="str">
        <f>HYPERLINK("https://www.compass.com/listing/107-14-watson-place-queens-ny-11433/1730504190414615609/view?agent_id=610d3f3370540700019b0833","107-14 Watson Place")</f>
        <v>107-14 Watson Place</v>
      </c>
      <c r="C208" s="15" t="s">
        <v>52</v>
      </c>
      <c r="D208" s="16" t="s">
        <v>23</v>
      </c>
      <c r="E208" s="17" t="str">
        <f>HYPERLINK("https://www.compass.com/building/107-14-watson-pl-queens-ny-11433/293533478413157973/","107-14 Watson Pl")</f>
        <v>107-14 Watson Pl</v>
      </c>
      <c r="F208" s="15" t="s">
        <v>24</v>
      </c>
      <c r="G208" s="18">
        <v>349000</v>
      </c>
      <c r="H208" s="18">
        <v>540</v>
      </c>
      <c r="I208" s="18">
        <v>134</v>
      </c>
      <c r="J208" s="18">
        <v>1602</v>
      </c>
      <c r="K208" s="15" t="s">
        <v>26</v>
      </c>
      <c r="L208" s="16">
        <v>5</v>
      </c>
      <c r="M208" s="16">
        <v>2</v>
      </c>
      <c r="N208" s="16">
        <v>1</v>
      </c>
      <c r="O208" s="16"/>
      <c r="P208" s="16">
        <v>646</v>
      </c>
      <c r="Q208" s="19">
        <v>366</v>
      </c>
      <c r="R208" s="20">
        <v>45597</v>
      </c>
      <c r="S208" s="20">
        <v>42220</v>
      </c>
      <c r="T208" s="18"/>
      <c r="U208" s="20"/>
      <c r="V208" s="1"/>
    </row>
    <row r="209" spans="1:22" ht="24" customHeight="1">
      <c r="A209" s="1"/>
      <c r="B209" s="14" t="str">
        <f>HYPERLINK("https://www.compass.com/listing/107-22-guy-r-brewer-boulevard-unit-14a-queens-ny-11433/915931224412140697/view?agent_id=610d3f3370540700019b0833","107-22 Guy R Brewer Boulevard, Unit 14A")</f>
        <v>107-22 Guy R Brewer Boulevard, Unit 14A</v>
      </c>
      <c r="C209" s="15" t="s">
        <v>53</v>
      </c>
      <c r="D209" s="16" t="s">
        <v>23</v>
      </c>
      <c r="E209" s="17" t="str">
        <f>HYPERLINK("https://www.compass.com/building/107-22-guy-r-brewer-blvd-queens-ny-11433/307460545745528581/","107-22 Guy R Brewer Blvd")</f>
        <v>107-22 Guy R Brewer Blvd</v>
      </c>
      <c r="F209" s="15" t="s">
        <v>24</v>
      </c>
      <c r="G209" s="18">
        <v>335000</v>
      </c>
      <c r="H209" s="18">
        <v>412</v>
      </c>
      <c r="I209" s="18">
        <v>475</v>
      </c>
      <c r="J209" s="18">
        <v>2760</v>
      </c>
      <c r="K209" s="15" t="s">
        <v>25</v>
      </c>
      <c r="L209" s="16">
        <v>5</v>
      </c>
      <c r="M209" s="16">
        <v>2</v>
      </c>
      <c r="N209" s="16">
        <v>1</v>
      </c>
      <c r="O209" s="16"/>
      <c r="P209" s="16">
        <v>813</v>
      </c>
      <c r="Q209" s="19">
        <v>174</v>
      </c>
      <c r="R209" s="20">
        <v>44802</v>
      </c>
      <c r="S209" s="20">
        <v>44515</v>
      </c>
      <c r="T209" s="18"/>
      <c r="U209" s="20"/>
      <c r="V209" s="1"/>
    </row>
    <row r="210" spans="1:22" ht="24" customHeight="1">
      <c r="A210" s="1"/>
      <c r="B210" s="14" t="str">
        <f>HYPERLINK("https://www.compass.com/listing/107-28-watson-place-queens-ny-11433/455824665550954905/view?agent_id=610d3f3370540700019b0833","107-28 Watson Place")</f>
        <v>107-28 Watson Place</v>
      </c>
      <c r="C210" s="15" t="s">
        <v>52</v>
      </c>
      <c r="D210" s="16" t="s">
        <v>23</v>
      </c>
      <c r="E210" s="17" t="str">
        <f>HYPERLINK("https://www.compass.com/building/107-28-watson-pl-queens-ny-11433/293526178478812581/","107-28 Watson Pl")</f>
        <v>107-28 Watson Pl</v>
      </c>
      <c r="F210" s="15" t="s">
        <v>24</v>
      </c>
      <c r="G210" s="18">
        <v>425000</v>
      </c>
      <c r="H210" s="18">
        <v>658</v>
      </c>
      <c r="I210" s="18">
        <v>131</v>
      </c>
      <c r="J210" s="18">
        <v>1577</v>
      </c>
      <c r="K210" s="15" t="s">
        <v>26</v>
      </c>
      <c r="L210" s="16">
        <v>5</v>
      </c>
      <c r="M210" s="16">
        <v>2</v>
      </c>
      <c r="N210" s="16">
        <v>1</v>
      </c>
      <c r="O210" s="16"/>
      <c r="P210" s="16">
        <v>646</v>
      </c>
      <c r="Q210" s="19">
        <v>89</v>
      </c>
      <c r="R210" s="20">
        <v>45637</v>
      </c>
      <c r="S210" s="20">
        <v>43880</v>
      </c>
      <c r="T210" s="18"/>
      <c r="U210" s="20"/>
      <c r="V210" s="1"/>
    </row>
    <row r="211" spans="1:22" ht="24" customHeight="1">
      <c r="A211" s="1"/>
      <c r="B211" s="14" t="str">
        <f>HYPERLINK("https://www.compass.com/listing/108-19-fern-place-queens-ny-11433/1730496769931100881/view?agent_id=610d3f3370540700019b0833","108-19 Fern Place")</f>
        <v>108-19 Fern Place</v>
      </c>
      <c r="C211" s="15" t="s">
        <v>52</v>
      </c>
      <c r="D211" s="16" t="s">
        <v>23</v>
      </c>
      <c r="E211" s="16" t="s">
        <v>41</v>
      </c>
      <c r="F211" s="15" t="s">
        <v>24</v>
      </c>
      <c r="G211" s="18">
        <v>205900</v>
      </c>
      <c r="H211" s="18"/>
      <c r="I211" s="18">
        <v>163</v>
      </c>
      <c r="J211" s="18">
        <v>1954</v>
      </c>
      <c r="K211" s="15" t="s">
        <v>26</v>
      </c>
      <c r="L211" s="16">
        <v>5</v>
      </c>
      <c r="M211" s="16">
        <v>2</v>
      </c>
      <c r="N211" s="16">
        <v>1</v>
      </c>
      <c r="O211" s="16"/>
      <c r="P211" s="16"/>
      <c r="Q211" s="19">
        <v>7</v>
      </c>
      <c r="R211" s="20">
        <v>45612</v>
      </c>
      <c r="S211" s="20">
        <v>40928</v>
      </c>
      <c r="T211" s="18"/>
      <c r="U211" s="20"/>
      <c r="V211" s="1"/>
    </row>
    <row r="212" spans="1:22" ht="24" customHeight="1">
      <c r="A212" s="1"/>
      <c r="B212" s="14" t="str">
        <f>HYPERLINK("https://www.compass.com/listing/108-25-fern-place-queens-ny-11433/1730739315333135505/view?agent_id=610d3f3370540700019b0833","108-25 Fern Place")</f>
        <v>108-25 Fern Place</v>
      </c>
      <c r="C212" s="15" t="s">
        <v>52</v>
      </c>
      <c r="D212" s="16" t="s">
        <v>23</v>
      </c>
      <c r="E212" s="17" t="str">
        <f>HYPERLINK("https://www.compass.com/building/108-25-fern-pl-queens-ny-11433/293528772211131509/","108-25 Fern Pl")</f>
        <v>108-25 Fern Pl</v>
      </c>
      <c r="F212" s="15" t="s">
        <v>24</v>
      </c>
      <c r="G212" s="18">
        <v>300000</v>
      </c>
      <c r="H212" s="18">
        <v>414</v>
      </c>
      <c r="I212" s="18">
        <v>178</v>
      </c>
      <c r="J212" s="18">
        <v>2134</v>
      </c>
      <c r="K212" s="15" t="s">
        <v>26</v>
      </c>
      <c r="L212" s="16">
        <v>5</v>
      </c>
      <c r="M212" s="16">
        <v>2</v>
      </c>
      <c r="N212" s="16">
        <v>1</v>
      </c>
      <c r="O212" s="16"/>
      <c r="P212" s="16">
        <v>725</v>
      </c>
      <c r="Q212" s="19">
        <v>365</v>
      </c>
      <c r="R212" s="20">
        <v>45597</v>
      </c>
      <c r="S212" s="20">
        <v>41978</v>
      </c>
      <c r="T212" s="18"/>
      <c r="U212" s="20"/>
      <c r="V212" s="1"/>
    </row>
    <row r="213" spans="1:22" ht="24" customHeight="1">
      <c r="A213" s="1"/>
      <c r="B213" s="14" t="str">
        <f>HYPERLINK("https://www.compass.com/listing/107-39-fern-place-queens-ny-11433/1730712587994688281/view?agent_id=610d3f3370540700019b0833","107-39 Fern Place")</f>
        <v>107-39 Fern Place</v>
      </c>
      <c r="C213" s="15" t="s">
        <v>52</v>
      </c>
      <c r="D213" s="16" t="s">
        <v>23</v>
      </c>
      <c r="E213" s="17" t="str">
        <f>HYPERLINK("https://www.compass.com/building/107-39-fern-pl-queens-ny-11433/293418239457827029/","107-39 Fern Pl")</f>
        <v>107-39 Fern Pl</v>
      </c>
      <c r="F213" s="15" t="s">
        <v>24</v>
      </c>
      <c r="G213" s="18">
        <v>350000</v>
      </c>
      <c r="H213" s="18">
        <v>140</v>
      </c>
      <c r="I213" s="18">
        <v>167</v>
      </c>
      <c r="J213" s="18">
        <v>2000</v>
      </c>
      <c r="K213" s="15" t="s">
        <v>26</v>
      </c>
      <c r="L213" s="16">
        <v>6</v>
      </c>
      <c r="M213" s="16">
        <v>2</v>
      </c>
      <c r="N213" s="16">
        <v>1</v>
      </c>
      <c r="O213" s="16"/>
      <c r="P213" s="21">
        <v>2500</v>
      </c>
      <c r="Q213" s="19">
        <v>364</v>
      </c>
      <c r="R213" s="20">
        <v>45597</v>
      </c>
      <c r="S213" s="20">
        <v>41503</v>
      </c>
      <c r="T213" s="18"/>
      <c r="U213" s="20"/>
      <c r="V213" s="1"/>
    </row>
    <row r="214" spans="1:22" ht="24" customHeight="1">
      <c r="A214" s="1"/>
      <c r="B214" s="14" t="str">
        <f>HYPERLINK("https://www.compass.com/listing/108-01-fern-place-queens-ny-11433/497728601643567041/view?agent_id=610d3f3370540700019b0833","108-01 Fern Place")</f>
        <v>108-01 Fern Place</v>
      </c>
      <c r="C214" s="15" t="s">
        <v>52</v>
      </c>
      <c r="D214" s="16" t="s">
        <v>23</v>
      </c>
      <c r="E214" s="17" t="str">
        <f>HYPERLINK("https://www.compass.com/building/108-01-fern-pl-queens-ny-11433/293526215539566005/","108-01 Fern Pl")</f>
        <v>108-01 Fern Pl</v>
      </c>
      <c r="F214" s="15" t="s">
        <v>24</v>
      </c>
      <c r="G214" s="18">
        <v>415000</v>
      </c>
      <c r="H214" s="18">
        <v>423</v>
      </c>
      <c r="I214" s="18">
        <v>321</v>
      </c>
      <c r="J214" s="18">
        <v>3855</v>
      </c>
      <c r="K214" s="15" t="s">
        <v>26</v>
      </c>
      <c r="L214" s="16">
        <v>3</v>
      </c>
      <c r="M214" s="16">
        <v>2</v>
      </c>
      <c r="N214" s="16">
        <v>1</v>
      </c>
      <c r="O214" s="16"/>
      <c r="P214" s="16">
        <v>980</v>
      </c>
      <c r="Q214" s="19">
        <v>115</v>
      </c>
      <c r="R214" s="20">
        <v>45612</v>
      </c>
      <c r="S214" s="20">
        <v>43594</v>
      </c>
      <c r="T214" s="18"/>
      <c r="U214" s="20"/>
      <c r="V214" s="1"/>
    </row>
    <row r="215" spans="1:22" ht="24" customHeight="1">
      <c r="A215" s="1"/>
      <c r="B215" s="14" t="str">
        <f>HYPERLINK("https://www.compass.com/listing/155-18-113th-avenue-queens-ny-11433/1730520121207250153/view?agent_id=610d3f3370540700019b0833","155-18 113th Avenue")</f>
        <v>155-18 113th Avenue</v>
      </c>
      <c r="C215" s="15" t="s">
        <v>52</v>
      </c>
      <c r="D215" s="16" t="s">
        <v>23</v>
      </c>
      <c r="E215" s="17" t="str">
        <f>HYPERLINK("https://www.compass.com/building/155-18-113th-ave-queens-ny-11433/293528273038672341/","155-18 113th Ave")</f>
        <v>155-18 113th Ave</v>
      </c>
      <c r="F215" s="15" t="s">
        <v>24</v>
      </c>
      <c r="G215" s="18">
        <v>150000</v>
      </c>
      <c r="H215" s="18">
        <v>143</v>
      </c>
      <c r="I215" s="18">
        <v>191</v>
      </c>
      <c r="J215" s="18">
        <v>2291</v>
      </c>
      <c r="K215" s="15" t="s">
        <v>26</v>
      </c>
      <c r="L215" s="16">
        <v>5</v>
      </c>
      <c r="M215" s="16">
        <v>2</v>
      </c>
      <c r="N215" s="16">
        <v>1</v>
      </c>
      <c r="O215" s="16"/>
      <c r="P215" s="21">
        <v>1050</v>
      </c>
      <c r="Q215" s="19">
        <v>6</v>
      </c>
      <c r="R215" s="20">
        <v>45616</v>
      </c>
      <c r="S215" s="20">
        <v>42047</v>
      </c>
      <c r="T215" s="18"/>
      <c r="U215" s="20"/>
      <c r="V215" s="1"/>
    </row>
    <row r="216" spans="1:22" ht="24" customHeight="1">
      <c r="A216" s="1"/>
      <c r="B216" s="14" t="str">
        <f>HYPERLINK("https://www.compass.com/listing/111-53-166th-street-queens-ny-11433/1726482281518244193/view?agent_id=610d3f3370540700019b0833","111-53 166th Street")</f>
        <v>111-53 166th Street</v>
      </c>
      <c r="C216" s="15" t="s">
        <v>52</v>
      </c>
      <c r="D216" s="16" t="s">
        <v>23</v>
      </c>
      <c r="E216" s="17" t="str">
        <f>HYPERLINK("https://www.compass.com/building/111-53-166th-st-queens-ny-11433/293529813749148773/","111-53 166th St")</f>
        <v>111-53 166th St</v>
      </c>
      <c r="F216" s="15" t="s">
        <v>24</v>
      </c>
      <c r="G216" s="18">
        <v>230000</v>
      </c>
      <c r="H216" s="18">
        <v>303</v>
      </c>
      <c r="I216" s="18">
        <v>167</v>
      </c>
      <c r="J216" s="18">
        <v>2000</v>
      </c>
      <c r="K216" s="15" t="s">
        <v>26</v>
      </c>
      <c r="L216" s="16">
        <v>4</v>
      </c>
      <c r="M216" s="16">
        <v>2</v>
      </c>
      <c r="N216" s="16">
        <v>1</v>
      </c>
      <c r="O216" s="16"/>
      <c r="P216" s="16">
        <v>760</v>
      </c>
      <c r="Q216" s="19">
        <v>183</v>
      </c>
      <c r="R216" s="20">
        <v>45633</v>
      </c>
      <c r="S216" s="20">
        <v>41699</v>
      </c>
      <c r="T216" s="18"/>
      <c r="U216" s="20"/>
      <c r="V216" s="1"/>
    </row>
    <row r="217" spans="1:22" ht="24" customHeight="1">
      <c r="A217" s="1"/>
      <c r="B217" s="14" t="str">
        <f>HYPERLINK("https://www.compass.com/listing/150-28-shore-avenue-queens-ny-11433/1730500252273400601/view?agent_id=610d3f3370540700019b0833","150-28 Shore Avenue")</f>
        <v>150-28 Shore Avenue</v>
      </c>
      <c r="C217" s="15" t="s">
        <v>52</v>
      </c>
      <c r="D217" s="16" t="s">
        <v>23</v>
      </c>
      <c r="E217" s="17" t="str">
        <f>HYPERLINK("https://www.compass.com/building/150-28-shore-ave-queens-ny-11433/293534855956846453/","150-28 Shore Ave")</f>
        <v>150-28 Shore Ave</v>
      </c>
      <c r="F217" s="15" t="s">
        <v>24</v>
      </c>
      <c r="G217" s="18">
        <v>199000</v>
      </c>
      <c r="H217" s="18">
        <v>175</v>
      </c>
      <c r="I217" s="18">
        <v>200</v>
      </c>
      <c r="J217" s="18">
        <v>2400</v>
      </c>
      <c r="K217" s="15" t="s">
        <v>26</v>
      </c>
      <c r="L217" s="16">
        <v>4</v>
      </c>
      <c r="M217" s="16">
        <v>2</v>
      </c>
      <c r="N217" s="16">
        <v>1</v>
      </c>
      <c r="O217" s="16"/>
      <c r="P217" s="21">
        <v>1136</v>
      </c>
      <c r="Q217" s="19">
        <v>251</v>
      </c>
      <c r="R217" s="20">
        <v>45597</v>
      </c>
      <c r="S217" s="20">
        <v>41007</v>
      </c>
      <c r="T217" s="18"/>
      <c r="U217" s="20"/>
      <c r="V217" s="1"/>
    </row>
    <row r="218" spans="1:22" ht="24" customHeight="1">
      <c r="A218" s="1"/>
      <c r="B218" s="14" t="str">
        <f>HYPERLINK("https://www.compass.com/listing/107-26-watson-place-queens-ny-11433/1730592150367846905/view?agent_id=610d3f3370540700019b0833","107-26 Watson Place")</f>
        <v>107-26 Watson Place</v>
      </c>
      <c r="C218" s="15" t="s">
        <v>52</v>
      </c>
      <c r="D218" s="16" t="s">
        <v>23</v>
      </c>
      <c r="E218" s="17" t="str">
        <f>HYPERLINK("https://www.compass.com/building/107-26-watson-pl-queens-ny-11433/293534514876035525/","107-26 Watson Pl")</f>
        <v>107-26 Watson Pl</v>
      </c>
      <c r="F218" s="15" t="s">
        <v>24</v>
      </c>
      <c r="G218" s="18">
        <v>180000</v>
      </c>
      <c r="H218" s="18">
        <v>279</v>
      </c>
      <c r="I218" s="18">
        <v>133</v>
      </c>
      <c r="J218" s="18">
        <v>1600</v>
      </c>
      <c r="K218" s="15" t="s">
        <v>26</v>
      </c>
      <c r="L218" s="16">
        <v>5</v>
      </c>
      <c r="M218" s="16">
        <v>2</v>
      </c>
      <c r="N218" s="16">
        <v>1</v>
      </c>
      <c r="O218" s="16"/>
      <c r="P218" s="16">
        <v>646</v>
      </c>
      <c r="Q218" s="19">
        <v>181</v>
      </c>
      <c r="R218" s="20">
        <v>45597</v>
      </c>
      <c r="S218" s="20">
        <v>40927</v>
      </c>
      <c r="T218" s="18"/>
      <c r="U218" s="20"/>
      <c r="V218" s="1"/>
    </row>
    <row r="219" spans="1:22" ht="24" customHeight="1">
      <c r="A219" s="1"/>
      <c r="B219" s="14" t="str">
        <f>HYPERLINK("https://www.compass.com/listing/173-42-105th-avenue-queens-ny-11433/1730698230062144105/view?agent_id=610d3f3370540700019b0833","173-42 105th Avenue")</f>
        <v>173-42 105th Avenue</v>
      </c>
      <c r="C219" s="15" t="s">
        <v>52</v>
      </c>
      <c r="D219" s="16" t="s">
        <v>23</v>
      </c>
      <c r="E219" s="17" t="str">
        <f>HYPERLINK("https://www.compass.com/building/173-42-105th-ave-queens-ny-11433/293533850406000469/","173-42 105th Ave")</f>
        <v>173-42 105th Ave</v>
      </c>
      <c r="F219" s="15" t="s">
        <v>24</v>
      </c>
      <c r="G219" s="18">
        <v>289000</v>
      </c>
      <c r="H219" s="18">
        <v>297</v>
      </c>
      <c r="I219" s="18">
        <v>56</v>
      </c>
      <c r="J219" s="18">
        <v>673</v>
      </c>
      <c r="K219" s="15" t="s">
        <v>26</v>
      </c>
      <c r="L219" s="16">
        <v>6</v>
      </c>
      <c r="M219" s="16">
        <v>2</v>
      </c>
      <c r="N219" s="16">
        <v>1</v>
      </c>
      <c r="O219" s="16"/>
      <c r="P219" s="16">
        <v>974</v>
      </c>
      <c r="Q219" s="19">
        <v>366</v>
      </c>
      <c r="R219" s="20">
        <v>45597</v>
      </c>
      <c r="S219" s="20">
        <v>41835</v>
      </c>
      <c r="T219" s="18"/>
      <c r="U219" s="20"/>
      <c r="V219" s="1"/>
    </row>
    <row r="220" spans="1:22" ht="24" customHeight="1">
      <c r="A220" s="1"/>
      <c r="B220" s="14" t="str">
        <f>HYPERLINK("https://www.compass.com/listing/150-34-113th-avenue-queens-ny-11433/1730740706281666929/view?agent_id=610d3f3370540700019b0833","150-34 113th Avenue")</f>
        <v>150-34 113th Avenue</v>
      </c>
      <c r="C220" s="15" t="s">
        <v>52</v>
      </c>
      <c r="D220" s="16" t="s">
        <v>23</v>
      </c>
      <c r="E220" s="17" t="str">
        <f t="shared" ref="E220:E221" si="22">HYPERLINK("https://www.compass.com/building/150-34-113th-ave-queens-ny-11433/293528617122609797/","150-34 113th Ave")</f>
        <v>150-34 113th Ave</v>
      </c>
      <c r="F220" s="15" t="s">
        <v>24</v>
      </c>
      <c r="G220" s="18">
        <v>200000</v>
      </c>
      <c r="H220" s="18">
        <v>124</v>
      </c>
      <c r="I220" s="18">
        <v>158</v>
      </c>
      <c r="J220" s="18">
        <v>1891</v>
      </c>
      <c r="K220" s="15" t="s">
        <v>26</v>
      </c>
      <c r="L220" s="16">
        <v>6</v>
      </c>
      <c r="M220" s="16">
        <v>2</v>
      </c>
      <c r="N220" s="16">
        <v>1</v>
      </c>
      <c r="O220" s="16"/>
      <c r="P220" s="21">
        <v>1619</v>
      </c>
      <c r="Q220" s="19">
        <v>361</v>
      </c>
      <c r="R220" s="20">
        <v>45597</v>
      </c>
      <c r="S220" s="20">
        <v>41310</v>
      </c>
      <c r="T220" s="18"/>
      <c r="U220" s="20"/>
      <c r="V220" s="1"/>
    </row>
    <row r="221" spans="1:22" ht="24" customHeight="1">
      <c r="A221" s="1"/>
      <c r="B221" s="14" t="str">
        <f>HYPERLINK("https://www.compass.com/listing/150-34-113th-avenue-queens-ny-11433/29141247968964209/view?agent_id=610d3f3370540700019b0833","150-34 113th Avenue")</f>
        <v>150-34 113th Avenue</v>
      </c>
      <c r="C221" s="15" t="s">
        <v>52</v>
      </c>
      <c r="D221" s="16" t="s">
        <v>23</v>
      </c>
      <c r="E221" s="17" t="str">
        <f t="shared" si="22"/>
        <v>150-34 113th Ave</v>
      </c>
      <c r="F221" s="15" t="s">
        <v>24</v>
      </c>
      <c r="G221" s="18">
        <v>295000</v>
      </c>
      <c r="H221" s="18">
        <v>182</v>
      </c>
      <c r="I221" s="18">
        <v>158</v>
      </c>
      <c r="J221" s="18">
        <v>1891</v>
      </c>
      <c r="K221" s="15" t="s">
        <v>26</v>
      </c>
      <c r="L221" s="16">
        <v>6</v>
      </c>
      <c r="M221" s="16">
        <v>2</v>
      </c>
      <c r="N221" s="16">
        <v>1</v>
      </c>
      <c r="O221" s="16"/>
      <c r="P221" s="21">
        <v>1619</v>
      </c>
      <c r="Q221" s="19">
        <v>365</v>
      </c>
      <c r="R221" s="20">
        <v>45597</v>
      </c>
      <c r="S221" s="20">
        <v>41671</v>
      </c>
      <c r="T221" s="18"/>
      <c r="U221" s="20"/>
      <c r="V221" s="1"/>
    </row>
    <row r="222" spans="1:22" ht="24" customHeight="1">
      <c r="A222" s="1"/>
      <c r="B222" s="14" t="str">
        <f>HYPERLINK("https://www.compass.com/listing/112-18-168th-street-queens-ny-11433/29142235861825025/view?agent_id=610d3f3370540700019b0833","112-18 168th Street")</f>
        <v>112-18 168th Street</v>
      </c>
      <c r="C222" s="15" t="s">
        <v>52</v>
      </c>
      <c r="D222" s="16" t="s">
        <v>23</v>
      </c>
      <c r="E222" s="17" t="str">
        <f>HYPERLINK("https://www.compass.com/building/112-18-168th-st-queens-ny-11433/293531359392099829/","112-18 168th St")</f>
        <v>112-18 168th St</v>
      </c>
      <c r="F222" s="15" t="s">
        <v>24</v>
      </c>
      <c r="G222" s="18">
        <v>314000</v>
      </c>
      <c r="H222" s="18">
        <v>413</v>
      </c>
      <c r="I222" s="18">
        <v>250</v>
      </c>
      <c r="J222" s="18">
        <v>3000</v>
      </c>
      <c r="K222" s="15" t="s">
        <v>26</v>
      </c>
      <c r="L222" s="16">
        <v>5</v>
      </c>
      <c r="M222" s="16">
        <v>2</v>
      </c>
      <c r="N222" s="16">
        <v>1</v>
      </c>
      <c r="O222" s="16"/>
      <c r="P222" s="16">
        <v>760</v>
      </c>
      <c r="Q222" s="19">
        <v>326</v>
      </c>
      <c r="R222" s="20">
        <v>45634</v>
      </c>
      <c r="S222" s="20">
        <v>41859</v>
      </c>
      <c r="T222" s="18"/>
      <c r="U222" s="20"/>
      <c r="V222" s="1"/>
    </row>
    <row r="223" spans="1:22" ht="24" customHeight="1">
      <c r="A223" s="1"/>
      <c r="B223" s="14" t="str">
        <f>HYPERLINK("https://www.compass.com/listing/112-29-168th-street-queens-ny-11433/500847710971307745/view?agent_id=610d3f3370540700019b0833","112-29 168th Street")</f>
        <v>112-29 168th Street</v>
      </c>
      <c r="C223" s="15" t="s">
        <v>52</v>
      </c>
      <c r="D223" s="16" t="s">
        <v>23</v>
      </c>
      <c r="E223" s="17" t="str">
        <f>HYPERLINK("https://www.compass.com/building/112-29-168th-st-queens-ny-11433/293535400402630389/","112-29 168th St")</f>
        <v>112-29 168th St</v>
      </c>
      <c r="F223" s="15" t="s">
        <v>24</v>
      </c>
      <c r="G223" s="18">
        <v>200000</v>
      </c>
      <c r="H223" s="18">
        <v>263</v>
      </c>
      <c r="I223" s="18">
        <v>211</v>
      </c>
      <c r="J223" s="18">
        <v>2526</v>
      </c>
      <c r="K223" s="15" t="s">
        <v>26</v>
      </c>
      <c r="L223" s="16">
        <v>6</v>
      </c>
      <c r="M223" s="16">
        <v>2</v>
      </c>
      <c r="N223" s="16">
        <v>1</v>
      </c>
      <c r="O223" s="16"/>
      <c r="P223" s="16">
        <v>760</v>
      </c>
      <c r="Q223" s="19">
        <v>365</v>
      </c>
      <c r="R223" s="20">
        <v>45597</v>
      </c>
      <c r="S223" s="20">
        <v>42517</v>
      </c>
      <c r="T223" s="18"/>
      <c r="U223" s="20"/>
      <c r="V223" s="1"/>
    </row>
    <row r="224" spans="1:22" ht="24" customHeight="1">
      <c r="A224" s="1"/>
      <c r="B224" s="14" t="str">
        <f>HYPERLINK("https://www.compass.com/listing/174-20-brinkerhoff-avenue-queens-ny-11433/500849498155728489/view?agent_id=610d3f3370540700019b0833","174-20 Brinkerhoff Avenue")</f>
        <v>174-20 Brinkerhoff Avenue</v>
      </c>
      <c r="C224" s="15" t="s">
        <v>52</v>
      </c>
      <c r="D224" s="16" t="s">
        <v>23</v>
      </c>
      <c r="E224" s="17" t="str">
        <f>HYPERLINK("https://www.compass.com/building/174-20-brinkerhoff-ave-queens-ny-11433/293418099728732197/","174-20 Brinkerhoff Ave")</f>
        <v>174-20 Brinkerhoff Ave</v>
      </c>
      <c r="F224" s="15" t="s">
        <v>24</v>
      </c>
      <c r="G224" s="18">
        <v>283000</v>
      </c>
      <c r="H224" s="18">
        <v>354</v>
      </c>
      <c r="I224" s="18">
        <v>294</v>
      </c>
      <c r="J224" s="18">
        <v>3522</v>
      </c>
      <c r="K224" s="15" t="s">
        <v>26</v>
      </c>
      <c r="L224" s="16">
        <v>5</v>
      </c>
      <c r="M224" s="16">
        <v>2</v>
      </c>
      <c r="N224" s="16">
        <v>1</v>
      </c>
      <c r="O224" s="16"/>
      <c r="P224" s="16">
        <v>800</v>
      </c>
      <c r="Q224" s="19">
        <v>365</v>
      </c>
      <c r="R224" s="20">
        <v>45597</v>
      </c>
      <c r="S224" s="20">
        <v>42653</v>
      </c>
      <c r="T224" s="18"/>
      <c r="U224" s="20"/>
      <c r="V224" s="1"/>
    </row>
    <row r="225" spans="1:22" ht="24" customHeight="1">
      <c r="A225" s="1"/>
      <c r="B225" s="14" t="str">
        <f>HYPERLINK("https://www.compass.com/listing/107-14-watson-place-queens-ny-11433/668897727827090193/view?agent_id=610d3f3370540700019b0833","107-14 Watson Place")</f>
        <v>107-14 Watson Place</v>
      </c>
      <c r="C225" s="15" t="s">
        <v>52</v>
      </c>
      <c r="D225" s="16" t="s">
        <v>23</v>
      </c>
      <c r="E225" s="17" t="str">
        <f t="shared" ref="E225:E226" si="23">HYPERLINK("https://www.compass.com/building/107-14-watson-pl-queens-ny-11433/293533478413157973/","107-14 Watson Pl")</f>
        <v>107-14 Watson Pl</v>
      </c>
      <c r="F225" s="15" t="s">
        <v>24</v>
      </c>
      <c r="G225" s="18">
        <v>330000</v>
      </c>
      <c r="H225" s="18">
        <v>508</v>
      </c>
      <c r="I225" s="18">
        <v>349</v>
      </c>
      <c r="J225" s="18">
        <v>4189</v>
      </c>
      <c r="K225" s="15" t="s">
        <v>26</v>
      </c>
      <c r="L225" s="16">
        <v>3</v>
      </c>
      <c r="M225" s="16">
        <v>2</v>
      </c>
      <c r="N225" s="16">
        <v>1</v>
      </c>
      <c r="O225" s="16"/>
      <c r="P225" s="16">
        <v>650</v>
      </c>
      <c r="Q225" s="19">
        <v>273</v>
      </c>
      <c r="R225" s="20">
        <v>45597</v>
      </c>
      <c r="S225" s="20">
        <v>44174</v>
      </c>
      <c r="T225" s="18"/>
      <c r="U225" s="20"/>
      <c r="V225" s="1"/>
    </row>
    <row r="226" spans="1:22" ht="24" customHeight="1">
      <c r="A226" s="1"/>
      <c r="B226" s="14" t="str">
        <f>HYPERLINK("https://www.compass.com/listing/107-14-watson-place-queens-ny-11433/1730618239785578553/view?agent_id=610d3f3370540700019b0833","107-14 Watson Place")</f>
        <v>107-14 Watson Place</v>
      </c>
      <c r="C226" s="15" t="s">
        <v>52</v>
      </c>
      <c r="D226" s="16" t="s">
        <v>23</v>
      </c>
      <c r="E226" s="17" t="str">
        <f t="shared" si="23"/>
        <v>107-14 Watson Pl</v>
      </c>
      <c r="F226" s="15" t="s">
        <v>24</v>
      </c>
      <c r="G226" s="18">
        <v>379000</v>
      </c>
      <c r="H226" s="18">
        <v>587</v>
      </c>
      <c r="I226" s="18">
        <v>173</v>
      </c>
      <c r="J226" s="18">
        <v>2080</v>
      </c>
      <c r="K226" s="15" t="s">
        <v>26</v>
      </c>
      <c r="L226" s="16">
        <v>5</v>
      </c>
      <c r="M226" s="16">
        <v>2</v>
      </c>
      <c r="N226" s="16">
        <v>1</v>
      </c>
      <c r="O226" s="16"/>
      <c r="P226" s="16">
        <v>646</v>
      </c>
      <c r="Q226" s="19">
        <v>365</v>
      </c>
      <c r="R226" s="20">
        <v>45616</v>
      </c>
      <c r="S226" s="20">
        <v>42088</v>
      </c>
      <c r="T226" s="18"/>
      <c r="U226" s="20"/>
      <c r="V226" s="1"/>
    </row>
    <row r="227" spans="1:22" ht="24" customHeight="1">
      <c r="A227" s="1"/>
      <c r="B227" s="14" t="str">
        <f>HYPERLINK("https://www.compass.com/listing/153-02-111th-road-queens-ny-11433/4835263386335853761/view?agent_id=610d3f3370540700019b0833","153-02 111th Road")</f>
        <v>153-02 111th Road</v>
      </c>
      <c r="C227" s="15" t="s">
        <v>52</v>
      </c>
      <c r="D227" s="16" t="s">
        <v>23</v>
      </c>
      <c r="E227" s="17" t="str">
        <f>HYPERLINK("https://www.compass.com/building/153-02-111th-rd-queens-ny-11433/293528726937924741/","153-02 111th Rd")</f>
        <v>153-02 111th Rd</v>
      </c>
      <c r="F227" s="15" t="s">
        <v>24</v>
      </c>
      <c r="G227" s="18">
        <v>352000</v>
      </c>
      <c r="H227" s="18">
        <v>429</v>
      </c>
      <c r="I227" s="18">
        <v>244</v>
      </c>
      <c r="J227" s="18">
        <v>2924</v>
      </c>
      <c r="K227" s="15" t="s">
        <v>26</v>
      </c>
      <c r="L227" s="16">
        <v>5</v>
      </c>
      <c r="M227" s="16">
        <v>2</v>
      </c>
      <c r="N227" s="16">
        <v>1</v>
      </c>
      <c r="O227" s="16"/>
      <c r="P227" s="16">
        <v>820</v>
      </c>
      <c r="Q227" s="19">
        <v>128</v>
      </c>
      <c r="R227" s="20">
        <v>45636</v>
      </c>
      <c r="S227" s="20">
        <v>42858</v>
      </c>
      <c r="T227" s="18"/>
      <c r="U227" s="20"/>
      <c r="V227" s="1"/>
    </row>
    <row r="228" spans="1:22" ht="24" customHeight="1">
      <c r="A228" s="1"/>
      <c r="B228" s="14" t="str">
        <f>HYPERLINK("https://www.compass.com/listing/108-25-fern-place-queens-ny-11433/502261555602409945/view?agent_id=610d3f3370540700019b0833","108-25 Fern Place")</f>
        <v>108-25 Fern Place</v>
      </c>
      <c r="C228" s="15" t="s">
        <v>52</v>
      </c>
      <c r="D228" s="16" t="s">
        <v>23</v>
      </c>
      <c r="E228" s="17" t="str">
        <f>HYPERLINK("https://www.compass.com/building/108-25-fern-pl-queens-ny-11433/293528772211131509/","108-25 Fern Pl")</f>
        <v>108-25 Fern Pl</v>
      </c>
      <c r="F228" s="15" t="s">
        <v>24</v>
      </c>
      <c r="G228" s="18">
        <v>360000</v>
      </c>
      <c r="H228" s="18">
        <v>497</v>
      </c>
      <c r="I228" s="18">
        <v>233</v>
      </c>
      <c r="J228" s="18">
        <v>2800</v>
      </c>
      <c r="K228" s="15" t="s">
        <v>38</v>
      </c>
      <c r="L228" s="16">
        <v>5</v>
      </c>
      <c r="M228" s="16">
        <v>2</v>
      </c>
      <c r="N228" s="16">
        <v>1</v>
      </c>
      <c r="O228" s="16">
        <v>0</v>
      </c>
      <c r="P228" s="16">
        <v>725</v>
      </c>
      <c r="Q228" s="19">
        <v>365</v>
      </c>
      <c r="R228" s="20">
        <v>45597</v>
      </c>
      <c r="S228" s="20">
        <v>42778</v>
      </c>
      <c r="T228" s="18"/>
      <c r="U228" s="20"/>
      <c r="V228" s="1"/>
    </row>
    <row r="229" spans="1:22" ht="24" customHeight="1">
      <c r="A229" s="1"/>
      <c r="B229" s="14" t="str">
        <f>HYPERLINK("https://www.compass.com/listing/110-19-174th-street-queens-ny-11433/1709571425468664617/view?agent_id=610d3f3370540700019b0833","110-19 174th Street")</f>
        <v>110-19 174th Street</v>
      </c>
      <c r="C229" s="15" t="s">
        <v>52</v>
      </c>
      <c r="D229" s="16" t="s">
        <v>23</v>
      </c>
      <c r="E229" s="17" t="str">
        <f>HYPERLINK("https://www.compass.com/building/110-19-174th-st-queens-ny-11433/293533163664200181/","110-19 174th St")</f>
        <v>110-19 174th St</v>
      </c>
      <c r="F229" s="15" t="s">
        <v>24</v>
      </c>
      <c r="G229" s="18">
        <v>400000</v>
      </c>
      <c r="H229" s="18">
        <v>500</v>
      </c>
      <c r="I229" s="18">
        <v>358</v>
      </c>
      <c r="J229" s="18">
        <v>4291</v>
      </c>
      <c r="K229" s="15" t="s">
        <v>26</v>
      </c>
      <c r="L229" s="16">
        <v>6</v>
      </c>
      <c r="M229" s="16">
        <v>2</v>
      </c>
      <c r="N229" s="16">
        <v>1</v>
      </c>
      <c r="O229" s="16"/>
      <c r="P229" s="16">
        <v>800</v>
      </c>
      <c r="Q229" s="19">
        <v>365</v>
      </c>
      <c r="R229" s="20">
        <v>45597</v>
      </c>
      <c r="S229" s="20">
        <v>44221</v>
      </c>
      <c r="T229" s="18"/>
      <c r="U229" s="20"/>
      <c r="V229" s="1"/>
    </row>
    <row r="230" spans="1:22" ht="24" customHeight="1">
      <c r="A230" s="1"/>
      <c r="B230" s="14" t="str">
        <f>HYPERLINK("https://www.compass.com/listing/107-07-157th-street-queens-ny-11433/557174722914537553/view?agent_id=610d3f3370540700019b0833","107-07 157th Street")</f>
        <v>107-07 157th Street</v>
      </c>
      <c r="C230" s="15" t="s">
        <v>52</v>
      </c>
      <c r="D230" s="16" t="s">
        <v>23</v>
      </c>
      <c r="E230" s="17" t="str">
        <f>HYPERLINK("https://www.compass.com/building/107-07-157th-st-queens-ny-11433/293529430792381733/","107-07 157th St")</f>
        <v>107-07 157th St</v>
      </c>
      <c r="F230" s="15" t="s">
        <v>24</v>
      </c>
      <c r="G230" s="18">
        <v>450000</v>
      </c>
      <c r="H230" s="18">
        <v>546</v>
      </c>
      <c r="I230" s="18">
        <v>205</v>
      </c>
      <c r="J230" s="18">
        <v>2465</v>
      </c>
      <c r="K230" s="15" t="s">
        <v>26</v>
      </c>
      <c r="L230" s="16">
        <v>5</v>
      </c>
      <c r="M230" s="16">
        <v>2</v>
      </c>
      <c r="N230" s="16">
        <v>1</v>
      </c>
      <c r="O230" s="16"/>
      <c r="P230" s="16">
        <v>824</v>
      </c>
      <c r="Q230" s="19">
        <v>357</v>
      </c>
      <c r="R230" s="20">
        <v>45597</v>
      </c>
      <c r="S230" s="20">
        <v>44020</v>
      </c>
      <c r="T230" s="18"/>
      <c r="U230" s="20"/>
      <c r="V230" s="1"/>
    </row>
    <row r="231" spans="1:22" ht="24" customHeight="1">
      <c r="A231" s="1"/>
      <c r="B231" s="14" t="str">
        <f>HYPERLINK("https://www.compass.com/listing/109-14-164th-place-queens-ny-11433/1676515437570432961/view?agent_id=610d3f3370540700019b0833","109-14 164th Place")</f>
        <v>109-14 164th Place</v>
      </c>
      <c r="C231" s="15" t="s">
        <v>52</v>
      </c>
      <c r="D231" s="16" t="s">
        <v>23</v>
      </c>
      <c r="E231" s="17" t="str">
        <f>HYPERLINK("https://www.compass.com/building/109-14-164th-pl-queens-ny-11433/293532520023077957/","109-14 164th Pl")</f>
        <v>109-14 164th Pl</v>
      </c>
      <c r="F231" s="15" t="s">
        <v>24</v>
      </c>
      <c r="G231" s="18">
        <v>559000</v>
      </c>
      <c r="H231" s="18">
        <v>726</v>
      </c>
      <c r="I231" s="18">
        <v>216</v>
      </c>
      <c r="J231" s="18">
        <v>2590</v>
      </c>
      <c r="K231" s="15" t="s">
        <v>26</v>
      </c>
      <c r="L231" s="16">
        <v>4</v>
      </c>
      <c r="M231" s="16">
        <v>2</v>
      </c>
      <c r="N231" s="16">
        <v>1</v>
      </c>
      <c r="O231" s="16"/>
      <c r="P231" s="16">
        <v>770</v>
      </c>
      <c r="Q231" s="19">
        <v>184</v>
      </c>
      <c r="R231" s="20">
        <v>45748</v>
      </c>
      <c r="S231" s="20">
        <v>45564</v>
      </c>
      <c r="T231" s="18"/>
      <c r="U231" s="20"/>
      <c r="V231" s="1"/>
    </row>
    <row r="232" spans="1:22" ht="24" customHeight="1">
      <c r="A232" s="1"/>
      <c r="B232" s="14" t="str">
        <f>HYPERLINK("https://www.compass.com/listing/107-12-guy-r-brewer-boulevard-queens-ny-11433/228257867415809201/view?agent_id=610d3f3370540700019b0833","107-12 Guy R Brewer Boulevard")</f>
        <v>107-12 Guy R Brewer Boulevard</v>
      </c>
      <c r="C232" s="15" t="s">
        <v>52</v>
      </c>
      <c r="D232" s="16" t="s">
        <v>23</v>
      </c>
      <c r="E232" s="17" t="str">
        <f>HYPERLINK("https://www.compass.com/building/107-12-guy-r-brewer-blvd-queens-ny-11433/307450871356949797/","107-12 Guy R Brewer Blvd")</f>
        <v>107-12 Guy R Brewer Blvd</v>
      </c>
      <c r="F232" s="15" t="s">
        <v>24</v>
      </c>
      <c r="G232" s="18">
        <v>260000</v>
      </c>
      <c r="H232" s="18"/>
      <c r="I232" s="18">
        <v>469</v>
      </c>
      <c r="J232" s="18">
        <v>2632</v>
      </c>
      <c r="K232" s="15" t="s">
        <v>25</v>
      </c>
      <c r="L232" s="16">
        <v>5</v>
      </c>
      <c r="M232" s="16">
        <v>2</v>
      </c>
      <c r="N232" s="16">
        <v>1</v>
      </c>
      <c r="O232" s="16"/>
      <c r="P232" s="16"/>
      <c r="Q232" s="19">
        <v>141</v>
      </c>
      <c r="R232" s="20">
        <v>45597</v>
      </c>
      <c r="S232" s="20">
        <v>43566</v>
      </c>
      <c r="T232" s="18"/>
      <c r="U232" s="20"/>
      <c r="V232" s="1"/>
    </row>
    <row r="233" spans="1:22" ht="24" customHeight="1">
      <c r="A233" s="1"/>
      <c r="B233" s="14" t="str">
        <f>HYPERLINK("https://www.compass.com/listing/108-03-fern-place-queens-ny-11433/196970303652402193/view?agent_id=610d3f3370540700019b0833","108-03 Fern Place")</f>
        <v>108-03 Fern Place</v>
      </c>
      <c r="C233" s="15" t="s">
        <v>52</v>
      </c>
      <c r="D233" s="16" t="s">
        <v>23</v>
      </c>
      <c r="E233" s="17" t="str">
        <f>HYPERLINK("https://www.compass.com/building/108-03-fern-pl-queens-ny-11433/293528248208382933/","108-03 Fern Pl")</f>
        <v>108-03 Fern Pl</v>
      </c>
      <c r="F233" s="15" t="s">
        <v>24</v>
      </c>
      <c r="G233" s="18">
        <v>450000</v>
      </c>
      <c r="H233" s="18">
        <v>621</v>
      </c>
      <c r="I233" s="18">
        <v>262</v>
      </c>
      <c r="J233" s="18">
        <v>3149</v>
      </c>
      <c r="K233" s="15" t="s">
        <v>26</v>
      </c>
      <c r="L233" s="16">
        <v>7</v>
      </c>
      <c r="M233" s="16">
        <v>2</v>
      </c>
      <c r="N233" s="16">
        <v>1</v>
      </c>
      <c r="O233" s="16"/>
      <c r="P233" s="16">
        <v>725</v>
      </c>
      <c r="Q233" s="19">
        <v>364</v>
      </c>
      <c r="R233" s="20">
        <v>45597</v>
      </c>
      <c r="S233" s="20">
        <v>43441</v>
      </c>
      <c r="T233" s="18"/>
      <c r="U233" s="20"/>
      <c r="V233" s="1"/>
    </row>
    <row r="234" spans="1:22" ht="24" customHeight="1">
      <c r="A234" s="1"/>
      <c r="B234" s="14" t="str">
        <f>HYPERLINK("https://www.compass.com/listing/164-34-109th-drive-queens-ny-11433/1729259256864630929/view?agent_id=610d3f3370540700019b0833","164-34 109th Drive")</f>
        <v>164-34 109th Drive</v>
      </c>
      <c r="C234" s="15" t="s">
        <v>52</v>
      </c>
      <c r="D234" s="16" t="s">
        <v>23</v>
      </c>
      <c r="E234" s="17" t="str">
        <f>HYPERLINK("https://www.compass.com/building/164-34-109th-dr-queens-ny-11433/293530380013720309/","164-34 109th Dr")</f>
        <v>164-34 109th Dr</v>
      </c>
      <c r="F234" s="15" t="s">
        <v>24</v>
      </c>
      <c r="G234" s="18">
        <v>575000</v>
      </c>
      <c r="H234" s="18">
        <v>575</v>
      </c>
      <c r="I234" s="18">
        <v>457</v>
      </c>
      <c r="J234" s="18">
        <v>5485</v>
      </c>
      <c r="K234" s="15" t="s">
        <v>26</v>
      </c>
      <c r="L234" s="16">
        <v>6</v>
      </c>
      <c r="M234" s="16">
        <v>2</v>
      </c>
      <c r="N234" s="16">
        <v>1</v>
      </c>
      <c r="O234" s="16"/>
      <c r="P234" s="21">
        <v>1000</v>
      </c>
      <c r="Q234" s="19">
        <v>2</v>
      </c>
      <c r="R234" s="20">
        <v>45788</v>
      </c>
      <c r="S234" s="20">
        <v>45644</v>
      </c>
      <c r="T234" s="18"/>
      <c r="U234" s="20"/>
      <c r="V234" s="1"/>
    </row>
    <row r="235" spans="1:22" ht="24" customHeight="1">
      <c r="A235" s="1"/>
      <c r="B235" s="14" t="str">
        <f>HYPERLINK("https://www.compass.com/listing/107-24-watson-place-queens-ny-11433/1438613921321134809/view?agent_id=610d3f3370540700019b0833","107-24 Watson Place")</f>
        <v>107-24 Watson Place</v>
      </c>
      <c r="C235" s="15" t="s">
        <v>52</v>
      </c>
      <c r="D235" s="16" t="s">
        <v>23</v>
      </c>
      <c r="E235" s="17" t="str">
        <f>HYPERLINK("https://www.compass.com/building/107-24-watson-pl-queens-ny-11433/293417408683595797/","107-24 Watson Pl")</f>
        <v>107-24 Watson Pl</v>
      </c>
      <c r="F235" s="15" t="s">
        <v>24</v>
      </c>
      <c r="G235" s="18">
        <v>469900</v>
      </c>
      <c r="H235" s="18">
        <v>727</v>
      </c>
      <c r="I235" s="18">
        <v>295</v>
      </c>
      <c r="J235" s="18">
        <v>3536</v>
      </c>
      <c r="K235" s="15" t="s">
        <v>26</v>
      </c>
      <c r="L235" s="16">
        <v>5</v>
      </c>
      <c r="M235" s="16">
        <v>2</v>
      </c>
      <c r="N235" s="16">
        <v>1</v>
      </c>
      <c r="O235" s="16"/>
      <c r="P235" s="16">
        <v>646</v>
      </c>
      <c r="Q235" s="19">
        <v>476</v>
      </c>
      <c r="R235" s="20">
        <v>45750</v>
      </c>
      <c r="S235" s="20">
        <v>45133</v>
      </c>
      <c r="T235" s="18"/>
      <c r="U235" s="20"/>
      <c r="V235" s="1"/>
    </row>
    <row r="236" spans="1:22" ht="24" customHeight="1">
      <c r="A236" s="1"/>
      <c r="B236" s="14" t="str">
        <f>HYPERLINK("https://www.compass.com/listing/108-27-fern-place-queens-ny-11433/1581333280535770313/view?agent_id=610d3f3370540700019b0833","108-27 Fern Place")</f>
        <v>108-27 Fern Place</v>
      </c>
      <c r="C236" s="15" t="s">
        <v>52</v>
      </c>
      <c r="D236" s="16" t="s">
        <v>23</v>
      </c>
      <c r="E236" s="17" t="str">
        <f>HYPERLINK("https://www.compass.com/building/108-27-fern-pl-queens-ny-11433/293534651660732165/","108-27 Fern Pl")</f>
        <v>108-27 Fern Pl</v>
      </c>
      <c r="F236" s="15" t="s">
        <v>24</v>
      </c>
      <c r="G236" s="18">
        <v>520000</v>
      </c>
      <c r="H236" s="18">
        <v>634</v>
      </c>
      <c r="I236" s="18">
        <v>351</v>
      </c>
      <c r="J236" s="18">
        <v>4218</v>
      </c>
      <c r="K236" s="15" t="s">
        <v>26</v>
      </c>
      <c r="L236" s="16">
        <v>5</v>
      </c>
      <c r="M236" s="16">
        <v>2</v>
      </c>
      <c r="N236" s="16">
        <v>1</v>
      </c>
      <c r="O236" s="16"/>
      <c r="P236" s="16">
        <v>820</v>
      </c>
      <c r="Q236" s="19">
        <v>15</v>
      </c>
      <c r="R236" s="20">
        <v>45660</v>
      </c>
      <c r="S236" s="20">
        <v>45433</v>
      </c>
      <c r="T236" s="18"/>
      <c r="U236" s="20"/>
      <c r="V236" s="1"/>
    </row>
    <row r="237" spans="1:22" ht="24" customHeight="1">
      <c r="A237" s="1"/>
      <c r="B237" s="14" t="str">
        <f>HYPERLINK("https://www.compass.com/listing/107-07-157th-street-queens-ny-11433/913137850380736633/view?agent_id=610d3f3370540700019b0833","107-07 157th Street")</f>
        <v>107-07 157th Street</v>
      </c>
      <c r="C237" s="15" t="s">
        <v>52</v>
      </c>
      <c r="D237" s="16" t="s">
        <v>23</v>
      </c>
      <c r="E237" s="17" t="str">
        <f>HYPERLINK("https://www.compass.com/building/107-07-157th-st-queens-ny-11433/293529430792381733/","107-07 157th St")</f>
        <v>107-07 157th St</v>
      </c>
      <c r="F237" s="15" t="s">
        <v>24</v>
      </c>
      <c r="G237" s="18">
        <v>550000</v>
      </c>
      <c r="H237" s="18">
        <v>667</v>
      </c>
      <c r="I237" s="18">
        <v>204</v>
      </c>
      <c r="J237" s="18">
        <v>2450</v>
      </c>
      <c r="K237" s="15" t="s">
        <v>26</v>
      </c>
      <c r="L237" s="16">
        <v>6</v>
      </c>
      <c r="M237" s="16">
        <v>2</v>
      </c>
      <c r="N237" s="16">
        <v>1</v>
      </c>
      <c r="O237" s="16"/>
      <c r="P237" s="16">
        <v>824</v>
      </c>
      <c r="Q237" s="19">
        <v>209</v>
      </c>
      <c r="R237" s="20">
        <v>45597</v>
      </c>
      <c r="S237" s="20">
        <v>44512</v>
      </c>
      <c r="T237" s="18"/>
      <c r="U237" s="20"/>
      <c r="V237" s="1"/>
    </row>
    <row r="238" spans="1:22" ht="24" customHeight="1">
      <c r="A238" s="1"/>
      <c r="B238" s="14" t="str">
        <f>HYPERLINK("https://www.compass.com/listing/87-70-173rd-street-unit-5e-queens-ny-11432/1730619392388806761/view?agent_id=610d3f3370540700019b0833","87-70 173rd Street, Unit 5E")</f>
        <v>87-70 173rd Street, Unit 5E</v>
      </c>
      <c r="C238" s="15" t="s">
        <v>52</v>
      </c>
      <c r="D238" s="16" t="s">
        <v>23</v>
      </c>
      <c r="E238" s="17" t="str">
        <f>HYPERLINK("https://www.compass.com/building/87-70-173rd-st-queens-ny-11432/293417969093019925/","87-70 173rd St")</f>
        <v>87-70 173rd St</v>
      </c>
      <c r="F238" s="15" t="s">
        <v>27</v>
      </c>
      <c r="G238" s="18">
        <v>149000</v>
      </c>
      <c r="H238" s="18">
        <v>149</v>
      </c>
      <c r="I238" s="18">
        <v>0</v>
      </c>
      <c r="J238" s="18">
        <v>0</v>
      </c>
      <c r="K238" s="15" t="s">
        <v>28</v>
      </c>
      <c r="L238" s="16">
        <v>4</v>
      </c>
      <c r="M238" s="16">
        <v>2</v>
      </c>
      <c r="N238" s="16">
        <v>1</v>
      </c>
      <c r="O238" s="16"/>
      <c r="P238" s="21">
        <v>1000</v>
      </c>
      <c r="Q238" s="19">
        <v>184</v>
      </c>
      <c r="R238" s="20">
        <v>45597</v>
      </c>
      <c r="S238" s="20">
        <v>41053</v>
      </c>
      <c r="T238" s="18"/>
      <c r="U238" s="20"/>
      <c r="V238" s="1"/>
    </row>
    <row r="239" spans="1:22" ht="24" customHeight="1">
      <c r="A239" s="1"/>
      <c r="B239" s="14" t="str">
        <f>HYPERLINK("https://www.compass.com/listing/87-20-175th-street-unit-1a-queens-ny-11432/1730624671222343137/view?agent_id=610d3f3370540700019b0833","87-20 175th Street, Unit 1A")</f>
        <v>87-20 175th Street, Unit 1A</v>
      </c>
      <c r="C239" s="15" t="s">
        <v>52</v>
      </c>
      <c r="D239" s="16" t="s">
        <v>23</v>
      </c>
      <c r="E239" s="17" t="str">
        <f>HYPERLINK("https://www.compass.com/building/87-20-175th-st-queens-ny-11432/293528958924850997/","87-20 175th St")</f>
        <v>87-20 175th St</v>
      </c>
      <c r="F239" s="15" t="s">
        <v>27</v>
      </c>
      <c r="G239" s="18">
        <v>119000</v>
      </c>
      <c r="H239" s="18"/>
      <c r="I239" s="18">
        <v>0</v>
      </c>
      <c r="J239" s="18">
        <v>0</v>
      </c>
      <c r="K239" s="15" t="s">
        <v>28</v>
      </c>
      <c r="L239" s="16">
        <v>4</v>
      </c>
      <c r="M239" s="16">
        <v>2</v>
      </c>
      <c r="N239" s="16">
        <v>1</v>
      </c>
      <c r="O239" s="16"/>
      <c r="P239" s="16"/>
      <c r="Q239" s="19">
        <v>355</v>
      </c>
      <c r="R239" s="20">
        <v>45597</v>
      </c>
      <c r="S239" s="20">
        <v>41123</v>
      </c>
      <c r="T239" s="18"/>
      <c r="U239" s="20"/>
      <c r="V239" s="1"/>
    </row>
    <row r="240" spans="1:22" ht="24" customHeight="1">
      <c r="A240" s="1"/>
      <c r="B240" s="14" t="str">
        <f>HYPERLINK("https://www.compass.com/listing/87-70-173rd-street-unit-7d-queens-ny-11432/1720481533968742233/view?agent_id=610d3f3370540700019b0833","87-70 173rd Street, Unit 7D")</f>
        <v>87-70 173rd Street, Unit 7D</v>
      </c>
      <c r="C240" s="15" t="s">
        <v>52</v>
      </c>
      <c r="D240" s="16" t="s">
        <v>23</v>
      </c>
      <c r="E240" s="17" t="str">
        <f t="shared" ref="E240:E241" si="24">HYPERLINK("https://www.compass.com/building/87-70-173rd-st-queens-ny-11432/293417969093019925/","87-70 173rd St")</f>
        <v>87-70 173rd St</v>
      </c>
      <c r="F240" s="15" t="s">
        <v>27</v>
      </c>
      <c r="G240" s="18">
        <v>229000</v>
      </c>
      <c r="H240" s="18"/>
      <c r="I240" s="18">
        <v>1040</v>
      </c>
      <c r="J240" s="18">
        <v>0</v>
      </c>
      <c r="K240" s="15" t="s">
        <v>28</v>
      </c>
      <c r="L240" s="16">
        <v>5</v>
      </c>
      <c r="M240" s="16">
        <v>2</v>
      </c>
      <c r="N240" s="16">
        <v>1</v>
      </c>
      <c r="O240" s="16"/>
      <c r="P240" s="16"/>
      <c r="Q240" s="19">
        <v>31</v>
      </c>
      <c r="R240" s="20">
        <v>45789</v>
      </c>
      <c r="S240" s="20">
        <v>45625</v>
      </c>
      <c r="T240" s="18"/>
      <c r="U240" s="20"/>
      <c r="V240" s="1"/>
    </row>
    <row r="241" spans="1:22" ht="24" customHeight="1">
      <c r="A241" s="1"/>
      <c r="B241" s="14" t="str">
        <f>HYPERLINK("https://www.compass.com/listing/87-70-173rd-street-unit-7d-queens-ny-11432/1558177791442463489/view?agent_id=610d3f3370540700019b0833","87-70 173rd Street, Unit 7D")</f>
        <v>87-70 173rd Street, Unit 7D</v>
      </c>
      <c r="C241" s="15" t="s">
        <v>52</v>
      </c>
      <c r="D241" s="16" t="s">
        <v>23</v>
      </c>
      <c r="E241" s="17" t="str">
        <f t="shared" si="24"/>
        <v>87-70 173rd St</v>
      </c>
      <c r="F241" s="15" t="s">
        <v>27</v>
      </c>
      <c r="G241" s="18">
        <v>229999</v>
      </c>
      <c r="H241" s="18"/>
      <c r="I241" s="18">
        <v>0</v>
      </c>
      <c r="J241" s="18">
        <v>0</v>
      </c>
      <c r="K241" s="15" t="s">
        <v>28</v>
      </c>
      <c r="L241" s="16">
        <v>5</v>
      </c>
      <c r="M241" s="16">
        <v>2</v>
      </c>
      <c r="N241" s="16">
        <v>1</v>
      </c>
      <c r="O241" s="16"/>
      <c r="P241" s="16"/>
      <c r="Q241" s="19">
        <v>133</v>
      </c>
      <c r="R241" s="20">
        <v>45626</v>
      </c>
      <c r="S241" s="20">
        <v>45400</v>
      </c>
      <c r="T241" s="18"/>
      <c r="U241" s="20"/>
      <c r="V241" s="1"/>
    </row>
    <row r="242" spans="1:22" ht="24" customHeight="1">
      <c r="A242" s="1"/>
      <c r="B242" s="14" t="str">
        <f>HYPERLINK("https://www.compass.com/listing/87-20-175th-street-unit-1m-queens-ny-11432/197774831733828145/view?agent_id=610d3f3370540700019b0833","87-20 175th Street, Unit 1M")</f>
        <v>87-20 175th Street, Unit 1M</v>
      </c>
      <c r="C242" s="15" t="s">
        <v>54</v>
      </c>
      <c r="D242" s="16" t="s">
        <v>23</v>
      </c>
      <c r="E242" s="17" t="str">
        <f t="shared" ref="E242:E243" si="25">HYPERLINK("https://www.compass.com/building/87-20-175th-st-queens-ny-11432/293528958924850997/","87-20 175th St")</f>
        <v>87-20 175th St</v>
      </c>
      <c r="F242" s="15" t="s">
        <v>27</v>
      </c>
      <c r="G242" s="18">
        <v>175000</v>
      </c>
      <c r="H242" s="18"/>
      <c r="I242" s="18">
        <v>0</v>
      </c>
      <c r="J242" s="18">
        <v>0</v>
      </c>
      <c r="K242" s="15" t="s">
        <v>28</v>
      </c>
      <c r="L242" s="16">
        <v>3</v>
      </c>
      <c r="M242" s="16">
        <v>2</v>
      </c>
      <c r="N242" s="16">
        <v>1</v>
      </c>
      <c r="O242" s="16"/>
      <c r="P242" s="16"/>
      <c r="Q242" s="19">
        <v>27</v>
      </c>
      <c r="R242" s="20">
        <v>45636</v>
      </c>
      <c r="S242" s="20">
        <v>43326</v>
      </c>
      <c r="T242" s="18"/>
      <c r="U242" s="20"/>
      <c r="V242" s="1"/>
    </row>
    <row r="243" spans="1:22" ht="24" customHeight="1">
      <c r="A243" s="1"/>
      <c r="B243" s="14" t="str">
        <f>HYPERLINK("https://www.compass.com/listing/87-20-175th-street-unit-6a-queens-ny-11432/1726883550657583905/view?agent_id=610d3f3370540700019b0833","87-20 175th Street, Unit 6A")</f>
        <v>87-20 175th Street, Unit 6A</v>
      </c>
      <c r="C243" s="15" t="s">
        <v>52</v>
      </c>
      <c r="D243" s="16" t="s">
        <v>23</v>
      </c>
      <c r="E243" s="17" t="str">
        <f t="shared" si="25"/>
        <v>87-20 175th St</v>
      </c>
      <c r="F243" s="15" t="s">
        <v>27</v>
      </c>
      <c r="G243" s="18">
        <v>189000</v>
      </c>
      <c r="H243" s="18">
        <v>270</v>
      </c>
      <c r="I243" s="18">
        <v>0</v>
      </c>
      <c r="J243" s="18">
        <v>0</v>
      </c>
      <c r="K243" s="15" t="s">
        <v>28</v>
      </c>
      <c r="L243" s="16">
        <v>5</v>
      </c>
      <c r="M243" s="16">
        <v>2</v>
      </c>
      <c r="N243" s="16">
        <v>1</v>
      </c>
      <c r="O243" s="16"/>
      <c r="P243" s="16">
        <v>700</v>
      </c>
      <c r="Q243" s="19">
        <v>239</v>
      </c>
      <c r="R243" s="20">
        <v>45634</v>
      </c>
      <c r="S243" s="20">
        <v>41965</v>
      </c>
      <c r="T243" s="18"/>
      <c r="U243" s="20"/>
      <c r="V243" s="1"/>
    </row>
    <row r="244" spans="1:22" ht="24" customHeight="1">
      <c r="A244" s="1"/>
      <c r="B244" s="14" t="str">
        <f>HYPERLINK("https://www.compass.com/listing/87-70-173rd-street-unit-6h-queens-ny-11432/1730500668888878737/view?agent_id=610d3f3370540700019b0833","87-70 173rd Street, Unit 6H")</f>
        <v>87-70 173rd Street, Unit 6H</v>
      </c>
      <c r="C244" s="15" t="s">
        <v>52</v>
      </c>
      <c r="D244" s="16" t="s">
        <v>23</v>
      </c>
      <c r="E244" s="17" t="str">
        <f t="shared" ref="E244:E247" si="26">HYPERLINK("https://www.compass.com/building/87-70-173rd-st-queens-ny-11432/293417969093019925/","87-70 173rd St")</f>
        <v>87-70 173rd St</v>
      </c>
      <c r="F244" s="15" t="s">
        <v>27</v>
      </c>
      <c r="G244" s="18">
        <v>145000</v>
      </c>
      <c r="H244" s="18"/>
      <c r="I244" s="18">
        <v>0</v>
      </c>
      <c r="J244" s="18">
        <v>0</v>
      </c>
      <c r="K244" s="15" t="s">
        <v>28</v>
      </c>
      <c r="L244" s="16">
        <v>4</v>
      </c>
      <c r="M244" s="16">
        <v>2</v>
      </c>
      <c r="N244" s="16">
        <v>1</v>
      </c>
      <c r="O244" s="16"/>
      <c r="P244" s="16"/>
      <c r="Q244" s="19">
        <v>183</v>
      </c>
      <c r="R244" s="20">
        <v>45597</v>
      </c>
      <c r="S244" s="20">
        <v>41081</v>
      </c>
      <c r="T244" s="18"/>
      <c r="U244" s="20"/>
      <c r="V244" s="1"/>
    </row>
    <row r="245" spans="1:22" ht="24" customHeight="1">
      <c r="A245" s="1"/>
      <c r="B245" s="14" t="str">
        <f>HYPERLINK("https://www.compass.com/listing/87-70-173rd-street-unit-5e-queens-ny-11432/1730622928883433617/view?agent_id=610d3f3370540700019b0833","87-70 173rd Street, Unit 5E")</f>
        <v>87-70 173rd Street, Unit 5E</v>
      </c>
      <c r="C245" s="15" t="s">
        <v>52</v>
      </c>
      <c r="D245" s="16" t="s">
        <v>23</v>
      </c>
      <c r="E245" s="17" t="str">
        <f t="shared" si="26"/>
        <v>87-70 173rd St</v>
      </c>
      <c r="F245" s="15" t="s">
        <v>27</v>
      </c>
      <c r="G245" s="18">
        <v>149900</v>
      </c>
      <c r="H245" s="18">
        <v>187</v>
      </c>
      <c r="I245" s="18">
        <v>0</v>
      </c>
      <c r="J245" s="18">
        <v>0</v>
      </c>
      <c r="K245" s="15" t="s">
        <v>28</v>
      </c>
      <c r="L245" s="16">
        <v>4</v>
      </c>
      <c r="M245" s="16">
        <v>2</v>
      </c>
      <c r="N245" s="16">
        <v>1</v>
      </c>
      <c r="O245" s="16"/>
      <c r="P245" s="16">
        <v>800</v>
      </c>
      <c r="Q245" s="19">
        <v>154</v>
      </c>
      <c r="R245" s="20">
        <v>45597</v>
      </c>
      <c r="S245" s="20">
        <v>41352</v>
      </c>
      <c r="T245" s="18"/>
      <c r="U245" s="20"/>
      <c r="V245" s="1"/>
    </row>
    <row r="246" spans="1:22" ht="24" customHeight="1">
      <c r="A246" s="1"/>
      <c r="B246" s="14" t="str">
        <f>HYPERLINK("https://www.compass.com/listing/87-70-173rd-street-unit-5e-queens-ny-11432/1608214082215551649/view?agent_id=610d3f3370540700019b0833","87-70 173rd Street, Unit 5E")</f>
        <v>87-70 173rd Street, Unit 5E</v>
      </c>
      <c r="C246" s="15" t="s">
        <v>52</v>
      </c>
      <c r="D246" s="16" t="s">
        <v>23</v>
      </c>
      <c r="E246" s="17" t="str">
        <f t="shared" si="26"/>
        <v>87-70 173rd St</v>
      </c>
      <c r="F246" s="15" t="s">
        <v>27</v>
      </c>
      <c r="G246" s="18">
        <v>239000</v>
      </c>
      <c r="H246" s="18">
        <v>281</v>
      </c>
      <c r="I246" s="18">
        <v>1050</v>
      </c>
      <c r="J246" s="18">
        <v>0</v>
      </c>
      <c r="K246" s="15" t="s">
        <v>28</v>
      </c>
      <c r="L246" s="16">
        <v>5</v>
      </c>
      <c r="M246" s="16">
        <v>2</v>
      </c>
      <c r="N246" s="16">
        <v>1</v>
      </c>
      <c r="O246" s="16"/>
      <c r="P246" s="16">
        <v>850</v>
      </c>
      <c r="Q246" s="19">
        <v>174</v>
      </c>
      <c r="R246" s="20">
        <v>45839</v>
      </c>
      <c r="S246" s="20">
        <v>45470</v>
      </c>
      <c r="T246" s="18"/>
      <c r="U246" s="20"/>
      <c r="V246" s="1"/>
    </row>
    <row r="247" spans="1:22" ht="24" customHeight="1">
      <c r="A247" s="1"/>
      <c r="B247" s="14" t="str">
        <f>HYPERLINK("https://www.compass.com/listing/87-70-173rd-street-unit-5e-queens-ny-11432/738661229592355297/view?agent_id=610d3f3370540700019b0833","87-70 173rd Street, Unit 5E")</f>
        <v>87-70 173rd Street, Unit 5E</v>
      </c>
      <c r="C247" s="15" t="s">
        <v>52</v>
      </c>
      <c r="D247" s="16" t="s">
        <v>23</v>
      </c>
      <c r="E247" s="17" t="str">
        <f t="shared" si="26"/>
        <v>87-70 173rd St</v>
      </c>
      <c r="F247" s="15" t="s">
        <v>27</v>
      </c>
      <c r="G247" s="18">
        <v>259000</v>
      </c>
      <c r="H247" s="18"/>
      <c r="I247" s="18">
        <v>747</v>
      </c>
      <c r="J247" s="18">
        <v>0</v>
      </c>
      <c r="K247" s="15" t="s">
        <v>28</v>
      </c>
      <c r="L247" s="16">
        <v>5</v>
      </c>
      <c r="M247" s="16">
        <v>2</v>
      </c>
      <c r="N247" s="16">
        <v>1</v>
      </c>
      <c r="O247" s="16"/>
      <c r="P247" s="16"/>
      <c r="Q247" s="19">
        <v>199</v>
      </c>
      <c r="R247" s="20">
        <v>45597</v>
      </c>
      <c r="S247" s="20">
        <v>44270</v>
      </c>
      <c r="T247" s="18"/>
      <c r="U247" s="20"/>
      <c r="V247" s="1"/>
    </row>
    <row r="248" spans="1:22" ht="24" customHeight="1">
      <c r="A248" s="1"/>
      <c r="B248" s="14" t="str">
        <f>HYPERLINK("https://www.compass.com/listing/van-wyck-expressway-queens-ny-11432/1730605202060406897/view?agent_id=610d3f3370540700019b0833","Van Wyck Expressway")</f>
        <v>Van Wyck Expressway</v>
      </c>
      <c r="C248" s="15" t="s">
        <v>52</v>
      </c>
      <c r="D248" s="16" t="s">
        <v>23</v>
      </c>
      <c r="E248" s="16" t="s">
        <v>55</v>
      </c>
      <c r="F248" s="15" t="s">
        <v>24</v>
      </c>
      <c r="G248" s="18">
        <v>195000</v>
      </c>
      <c r="H248" s="18">
        <v>177</v>
      </c>
      <c r="I248" s="18">
        <v>0</v>
      </c>
      <c r="J248" s="18">
        <v>0</v>
      </c>
      <c r="K248" s="15" t="s">
        <v>28</v>
      </c>
      <c r="L248" s="16">
        <v>5</v>
      </c>
      <c r="M248" s="16">
        <v>2</v>
      </c>
      <c r="N248" s="16">
        <v>1</v>
      </c>
      <c r="O248" s="16"/>
      <c r="P248" s="21">
        <v>1100</v>
      </c>
      <c r="Q248" s="19">
        <v>192</v>
      </c>
      <c r="R248" s="20">
        <v>45597</v>
      </c>
      <c r="S248" s="20">
        <v>40960</v>
      </c>
      <c r="T248" s="18"/>
      <c r="U248" s="20"/>
      <c r="V248" s="1"/>
    </row>
    <row r="249" spans="1:22" ht="24" customHeight="1">
      <c r="A249" s="1"/>
      <c r="B249" s="14" t="str">
        <f>HYPERLINK("https://www.compass.com/listing/87-20-175th-street-queens-ny-11432/1727106095411133785/view?agent_id=610d3f3370540700019b0833","87-20 175th Street")</f>
        <v>87-20 175th Street</v>
      </c>
      <c r="C249" s="15" t="s">
        <v>52</v>
      </c>
      <c r="D249" s="16" t="s">
        <v>23</v>
      </c>
      <c r="E249" s="17" t="str">
        <f>HYPERLINK("https://www.compass.com/building/87-20-175th-st-queens-ny-11432/293528958924850997/","87-20 175th St")</f>
        <v>87-20 175th St</v>
      </c>
      <c r="F249" s="15" t="s">
        <v>27</v>
      </c>
      <c r="G249" s="18">
        <v>179000</v>
      </c>
      <c r="H249" s="18"/>
      <c r="I249" s="18">
        <v>0</v>
      </c>
      <c r="J249" s="18">
        <v>0</v>
      </c>
      <c r="K249" s="15" t="s">
        <v>28</v>
      </c>
      <c r="L249" s="16">
        <v>4</v>
      </c>
      <c r="M249" s="16">
        <v>2</v>
      </c>
      <c r="N249" s="16">
        <v>1</v>
      </c>
      <c r="O249" s="16"/>
      <c r="P249" s="16"/>
      <c r="Q249" s="19">
        <v>364</v>
      </c>
      <c r="R249" s="20">
        <v>45634</v>
      </c>
      <c r="S249" s="20">
        <v>42217</v>
      </c>
      <c r="T249" s="18"/>
      <c r="U249" s="20"/>
      <c r="V249" s="1"/>
    </row>
    <row r="250" spans="1:22" ht="24" customHeight="1">
      <c r="A250" s="1"/>
      <c r="B250" s="14" t="str">
        <f>HYPERLINK("https://www.compass.com/listing/87-70-173rd-street-unit-7d-queens-ny-11432/1348737374934205513/view?agent_id=610d3f3370540700019b0833","87-70 173rd Street, Unit 7D")</f>
        <v>87-70 173rd Street, Unit 7D</v>
      </c>
      <c r="C250" s="15" t="s">
        <v>52</v>
      </c>
      <c r="D250" s="16" t="s">
        <v>23</v>
      </c>
      <c r="E250" s="17" t="str">
        <f>HYPERLINK("https://www.compass.com/building/87-70-173rd-st-queens-ny-11432/293417969093019925/","87-70 173rd St")</f>
        <v>87-70 173rd St</v>
      </c>
      <c r="F250" s="15" t="s">
        <v>27</v>
      </c>
      <c r="G250" s="18">
        <v>229000</v>
      </c>
      <c r="H250" s="18">
        <v>241</v>
      </c>
      <c r="I250" s="18">
        <v>0</v>
      </c>
      <c r="J250" s="18">
        <v>0</v>
      </c>
      <c r="K250" s="15" t="s">
        <v>28</v>
      </c>
      <c r="L250" s="16">
        <v>5</v>
      </c>
      <c r="M250" s="16">
        <v>2</v>
      </c>
      <c r="N250" s="16">
        <v>1</v>
      </c>
      <c r="O250" s="16"/>
      <c r="P250" s="16">
        <v>950</v>
      </c>
      <c r="Q250" s="19">
        <v>183</v>
      </c>
      <c r="R250" s="20">
        <v>45597</v>
      </c>
      <c r="S250" s="20">
        <v>45112</v>
      </c>
      <c r="T250" s="18"/>
      <c r="U250" s="20"/>
      <c r="V250" s="1"/>
    </row>
    <row r="251" spans="1:22" ht="24" customHeight="1">
      <c r="A251" s="1"/>
      <c r="B251" s="14" t="str">
        <f>HYPERLINK("https://www.compass.com/listing/89-00-170th-street-unit-8m-queens-ny-11432/1730518201785019345/view?agent_id=610d3f3370540700019b0833","89-00 170th Street, Unit 8M")</f>
        <v>89-00 170th Street, Unit 8M</v>
      </c>
      <c r="C251" s="15" t="s">
        <v>52</v>
      </c>
      <c r="D251" s="16" t="s">
        <v>23</v>
      </c>
      <c r="E251" s="17" t="str">
        <f t="shared" ref="E251:E254" si="27">HYPERLINK("https://www.compass.com/building/89-00-170th-st-queens-ny-11432/307449656485080949/","89-00 170th St")</f>
        <v>89-00 170th St</v>
      </c>
      <c r="F251" s="15" t="s">
        <v>24</v>
      </c>
      <c r="G251" s="18">
        <v>139999</v>
      </c>
      <c r="H251" s="18"/>
      <c r="I251" s="18">
        <v>0</v>
      </c>
      <c r="J251" s="18">
        <v>0</v>
      </c>
      <c r="K251" s="15" t="s">
        <v>28</v>
      </c>
      <c r="L251" s="16">
        <v>4</v>
      </c>
      <c r="M251" s="16">
        <v>2</v>
      </c>
      <c r="N251" s="16">
        <v>1</v>
      </c>
      <c r="O251" s="16"/>
      <c r="P251" s="16"/>
      <c r="Q251" s="19">
        <v>136</v>
      </c>
      <c r="R251" s="20">
        <v>45597</v>
      </c>
      <c r="S251" s="20">
        <v>41304</v>
      </c>
      <c r="T251" s="18"/>
      <c r="U251" s="20"/>
      <c r="V251" s="1"/>
    </row>
    <row r="252" spans="1:22" ht="24" customHeight="1">
      <c r="A252" s="1"/>
      <c r="B252" s="14" t="str">
        <f>HYPERLINK("https://www.compass.com/listing/89-00-170th-street-unit-8m-queens-ny-11432/1730708993040161233/view?agent_id=610d3f3370540700019b0833","89-00 170th Street, Unit 8M")</f>
        <v>89-00 170th Street, Unit 8M</v>
      </c>
      <c r="C252" s="15" t="s">
        <v>52</v>
      </c>
      <c r="D252" s="16" t="s">
        <v>23</v>
      </c>
      <c r="E252" s="17" t="str">
        <f t="shared" si="27"/>
        <v>89-00 170th St</v>
      </c>
      <c r="F252" s="15" t="s">
        <v>24</v>
      </c>
      <c r="G252" s="18">
        <v>155000</v>
      </c>
      <c r="H252" s="18"/>
      <c r="I252" s="18">
        <v>0</v>
      </c>
      <c r="J252" s="18">
        <v>0</v>
      </c>
      <c r="K252" s="15" t="s">
        <v>28</v>
      </c>
      <c r="L252" s="16">
        <v>5</v>
      </c>
      <c r="M252" s="16">
        <v>2</v>
      </c>
      <c r="N252" s="16">
        <v>1</v>
      </c>
      <c r="O252" s="16"/>
      <c r="P252" s="16"/>
      <c r="Q252" s="19">
        <v>181</v>
      </c>
      <c r="R252" s="20">
        <v>45612</v>
      </c>
      <c r="S252" s="20">
        <v>40917</v>
      </c>
      <c r="T252" s="18"/>
      <c r="U252" s="20"/>
      <c r="V252" s="1"/>
    </row>
    <row r="253" spans="1:22" ht="24" customHeight="1">
      <c r="A253" s="1"/>
      <c r="B253" s="14" t="str">
        <f>HYPERLINK("https://www.compass.com/listing/89-00-170th-street-unit-7d-queens-ny-11432/1730742404513381521/view?agent_id=610d3f3370540700019b0833","89-00 170th Street, Unit 7D")</f>
        <v>89-00 170th Street, Unit 7D</v>
      </c>
      <c r="C253" s="15" t="s">
        <v>52</v>
      </c>
      <c r="D253" s="16" t="s">
        <v>23</v>
      </c>
      <c r="E253" s="17" t="str">
        <f t="shared" si="27"/>
        <v>89-00 170th St</v>
      </c>
      <c r="F253" s="15" t="s">
        <v>24</v>
      </c>
      <c r="G253" s="18">
        <v>129000</v>
      </c>
      <c r="H253" s="18"/>
      <c r="I253" s="18">
        <v>0</v>
      </c>
      <c r="J253" s="18">
        <v>0</v>
      </c>
      <c r="K253" s="15" t="s">
        <v>28</v>
      </c>
      <c r="L253" s="16">
        <v>3</v>
      </c>
      <c r="M253" s="16">
        <v>2</v>
      </c>
      <c r="N253" s="16">
        <v>1</v>
      </c>
      <c r="O253" s="16"/>
      <c r="P253" s="16"/>
      <c r="Q253" s="19">
        <v>233</v>
      </c>
      <c r="R253" s="20">
        <v>45616</v>
      </c>
      <c r="S253" s="20">
        <v>42136</v>
      </c>
      <c r="T253" s="18"/>
      <c r="U253" s="20"/>
      <c r="V253" s="1"/>
    </row>
    <row r="254" spans="1:22" ht="24" customHeight="1">
      <c r="A254" s="1"/>
      <c r="B254" s="14" t="str">
        <f>HYPERLINK("https://www.compass.com/listing/89-00-170th-street-unit-8m-queens-ny-11432/1730514787512729977/view?agent_id=610d3f3370540700019b0833","89-00 170th Street, Unit 8M")</f>
        <v>89-00 170th Street, Unit 8M</v>
      </c>
      <c r="C254" s="15" t="s">
        <v>52</v>
      </c>
      <c r="D254" s="16" t="s">
        <v>23</v>
      </c>
      <c r="E254" s="17" t="str">
        <f t="shared" si="27"/>
        <v>89-00 170th St</v>
      </c>
      <c r="F254" s="15" t="s">
        <v>24</v>
      </c>
      <c r="G254" s="18">
        <v>155000</v>
      </c>
      <c r="H254" s="18"/>
      <c r="I254" s="18">
        <v>0</v>
      </c>
      <c r="J254" s="18">
        <v>0</v>
      </c>
      <c r="K254" s="15" t="s">
        <v>28</v>
      </c>
      <c r="L254" s="16">
        <v>4</v>
      </c>
      <c r="M254" s="16">
        <v>2</v>
      </c>
      <c r="N254" s="16">
        <v>1</v>
      </c>
      <c r="O254" s="16"/>
      <c r="P254" s="16"/>
      <c r="Q254" s="19">
        <v>516</v>
      </c>
      <c r="R254" s="20">
        <v>45597</v>
      </c>
      <c r="S254" s="20">
        <v>40924</v>
      </c>
      <c r="T254" s="18"/>
      <c r="U254" s="20"/>
      <c r="V254" s="1"/>
    </row>
    <row r="255" spans="1:22" ht="24" customHeight="1">
      <c r="A255" s="1"/>
      <c r="B255" s="14" t="str">
        <f>HYPERLINK("https://www.compass.com/listing/160-10-89th-avenue-unit-8l-queens-ny-11432/1730617806220120873/view?agent_id=610d3f3370540700019b0833","160-10 89th Avenue, Unit 8L")</f>
        <v>160-10 89th Avenue, Unit 8L</v>
      </c>
      <c r="C255" s="15" t="s">
        <v>52</v>
      </c>
      <c r="D255" s="16" t="s">
        <v>23</v>
      </c>
      <c r="E255" s="17" t="str">
        <f t="shared" ref="E255:E256" si="28">HYPERLINK("https://www.compass.com/building/160-10-89th-ave-queens-ny-11432/293533475963683173/","160-10 89th Ave")</f>
        <v>160-10 89th Ave</v>
      </c>
      <c r="F255" s="15" t="s">
        <v>24</v>
      </c>
      <c r="G255" s="18">
        <v>165000</v>
      </c>
      <c r="H255" s="18">
        <v>150</v>
      </c>
      <c r="I255" s="18">
        <v>0</v>
      </c>
      <c r="J255" s="18">
        <v>0</v>
      </c>
      <c r="K255" s="15" t="s">
        <v>28</v>
      </c>
      <c r="L255" s="16">
        <v>5</v>
      </c>
      <c r="M255" s="16">
        <v>2</v>
      </c>
      <c r="N255" s="16">
        <v>1</v>
      </c>
      <c r="O255" s="16"/>
      <c r="P255" s="21">
        <v>1100</v>
      </c>
      <c r="Q255" s="19">
        <v>211</v>
      </c>
      <c r="R255" s="20">
        <v>45597</v>
      </c>
      <c r="S255" s="20">
        <v>41225</v>
      </c>
      <c r="T255" s="18"/>
      <c r="U255" s="20"/>
      <c r="V255" s="1"/>
    </row>
    <row r="256" spans="1:22" ht="24" customHeight="1">
      <c r="A256" s="1"/>
      <c r="B256" s="14" t="str">
        <f>HYPERLINK("https://www.compass.com/listing/160-10-89th-avenue-unit-14e-queens-ny-11432/197771031853761297/view?agent_id=610d3f3370540700019b0833","160-10 89th Avenue, Unit 14E")</f>
        <v>160-10 89th Avenue, Unit 14E</v>
      </c>
      <c r="C256" s="15" t="s">
        <v>52</v>
      </c>
      <c r="D256" s="16" t="s">
        <v>23</v>
      </c>
      <c r="E256" s="17" t="str">
        <f t="shared" si="28"/>
        <v>160-10 89th Ave</v>
      </c>
      <c r="F256" s="15" t="s">
        <v>24</v>
      </c>
      <c r="G256" s="18">
        <v>164900</v>
      </c>
      <c r="H256" s="18">
        <v>183</v>
      </c>
      <c r="I256" s="18">
        <v>0</v>
      </c>
      <c r="J256" s="18">
        <v>0</v>
      </c>
      <c r="K256" s="15" t="s">
        <v>28</v>
      </c>
      <c r="L256" s="16">
        <v>4</v>
      </c>
      <c r="M256" s="16">
        <v>2</v>
      </c>
      <c r="N256" s="16">
        <v>1</v>
      </c>
      <c r="O256" s="16"/>
      <c r="P256" s="16">
        <v>900</v>
      </c>
      <c r="Q256" s="19">
        <v>89</v>
      </c>
      <c r="R256" s="20">
        <v>45637</v>
      </c>
      <c r="S256" s="20">
        <v>43378</v>
      </c>
      <c r="T256" s="18"/>
      <c r="U256" s="20"/>
      <c r="V256" s="1"/>
    </row>
    <row r="257" spans="1:22" ht="24" customHeight="1">
      <c r="A257" s="1"/>
      <c r="B257" s="14" t="str">
        <f>HYPERLINK("https://www.compass.com/listing/89-15-parsons-boulevard-unit-8f-queens-ny-11432/1730526624492858553/view?agent_id=610d3f3370540700019b0833","89-15 Parsons Boulevard, Unit 8F")</f>
        <v>89-15 Parsons Boulevard, Unit 8F</v>
      </c>
      <c r="C257" s="15" t="s">
        <v>52</v>
      </c>
      <c r="D257" s="16" t="s">
        <v>23</v>
      </c>
      <c r="E257" s="17" t="str">
        <f>HYPERLINK("https://www.compass.com/building/89-15-parsons-blvd-queens-ny-11432/293527323523755221/","89-15 Parsons Blvd")</f>
        <v>89-15 Parsons Blvd</v>
      </c>
      <c r="F257" s="15" t="s">
        <v>24</v>
      </c>
      <c r="G257" s="18">
        <v>179000</v>
      </c>
      <c r="H257" s="18"/>
      <c r="I257" s="18">
        <v>0</v>
      </c>
      <c r="J257" s="18">
        <v>0</v>
      </c>
      <c r="K257" s="15" t="s">
        <v>28</v>
      </c>
      <c r="L257" s="16">
        <v>5</v>
      </c>
      <c r="M257" s="16">
        <v>2</v>
      </c>
      <c r="N257" s="16">
        <v>1</v>
      </c>
      <c r="O257" s="16"/>
      <c r="P257" s="16"/>
      <c r="Q257" s="19">
        <v>385</v>
      </c>
      <c r="R257" s="20">
        <v>45597</v>
      </c>
      <c r="S257" s="20">
        <v>41984</v>
      </c>
      <c r="T257" s="18"/>
      <c r="U257" s="20"/>
      <c r="V257" s="1"/>
    </row>
    <row r="258" spans="1:22" ht="24" customHeight="1">
      <c r="A258" s="1"/>
      <c r="B258" s="14" t="str">
        <f>HYPERLINK("https://www.compass.com/listing/160-10-89th-avenue-unit-4e-queens-ny-11432/1730602715852884393/view?agent_id=610d3f3370540700019b0833","160-10 89th Avenue, Unit 4E")</f>
        <v>160-10 89th Avenue, Unit 4E</v>
      </c>
      <c r="C258" s="15" t="s">
        <v>52</v>
      </c>
      <c r="D258" s="16" t="s">
        <v>23</v>
      </c>
      <c r="E258" s="17" t="str">
        <f t="shared" ref="E258:E259" si="29">HYPERLINK("https://www.compass.com/building/160-10-89th-ave-queens-ny-11432/293533475963683173/","160-10 89th Ave")</f>
        <v>160-10 89th Ave</v>
      </c>
      <c r="F258" s="15" t="s">
        <v>24</v>
      </c>
      <c r="G258" s="18">
        <v>115000</v>
      </c>
      <c r="H258" s="18"/>
      <c r="I258" s="18">
        <v>0</v>
      </c>
      <c r="J258" s="18">
        <v>0</v>
      </c>
      <c r="K258" s="15" t="s">
        <v>28</v>
      </c>
      <c r="L258" s="16">
        <v>5</v>
      </c>
      <c r="M258" s="16">
        <v>2</v>
      </c>
      <c r="N258" s="16">
        <v>1</v>
      </c>
      <c r="O258" s="16"/>
      <c r="P258" s="16"/>
      <c r="Q258" s="19">
        <v>180</v>
      </c>
      <c r="R258" s="20">
        <v>45597</v>
      </c>
      <c r="S258" s="20">
        <v>41333</v>
      </c>
      <c r="T258" s="18"/>
      <c r="U258" s="20"/>
      <c r="V258" s="1"/>
    </row>
    <row r="259" spans="1:22" ht="24" customHeight="1">
      <c r="A259" s="1"/>
      <c r="B259" s="14" t="str">
        <f>HYPERLINK("https://www.compass.com/listing/160-10-89th-avenue-unit-4e-queens-ny-11432/1730719643149814265/view?agent_id=610d3f3370540700019b0833","160-10 89th Avenue, Unit 4E")</f>
        <v>160-10 89th Avenue, Unit 4E</v>
      </c>
      <c r="C259" s="15" t="s">
        <v>52</v>
      </c>
      <c r="D259" s="16" t="s">
        <v>23</v>
      </c>
      <c r="E259" s="17" t="str">
        <f t="shared" si="29"/>
        <v>160-10 89th Ave</v>
      </c>
      <c r="F259" s="15" t="s">
        <v>24</v>
      </c>
      <c r="G259" s="18">
        <v>139999</v>
      </c>
      <c r="H259" s="18">
        <v>100</v>
      </c>
      <c r="I259" s="18">
        <v>0</v>
      </c>
      <c r="J259" s="18">
        <v>0</v>
      </c>
      <c r="K259" s="15" t="s">
        <v>28</v>
      </c>
      <c r="L259" s="16">
        <v>5</v>
      </c>
      <c r="M259" s="16">
        <v>2</v>
      </c>
      <c r="N259" s="16">
        <v>1</v>
      </c>
      <c r="O259" s="16"/>
      <c r="P259" s="21">
        <v>1400</v>
      </c>
      <c r="Q259" s="19">
        <v>184</v>
      </c>
      <c r="R259" s="20">
        <v>45597</v>
      </c>
      <c r="S259" s="20">
        <v>41129</v>
      </c>
      <c r="T259" s="18"/>
      <c r="U259" s="20"/>
      <c r="V259" s="1"/>
    </row>
    <row r="260" spans="1:22" ht="24" customHeight="1">
      <c r="A260" s="1"/>
      <c r="B260" s="14" t="str">
        <f>HYPERLINK("https://www.compass.com/listing/89-15-parsons-boulevard-unit-3l-queens-ny-11432/500863665384588025/view?agent_id=610d3f3370540700019b0833","89-15 Parsons Boulevard, Unit 3L")</f>
        <v>89-15 Parsons Boulevard, Unit 3L</v>
      </c>
      <c r="C260" s="15" t="s">
        <v>52</v>
      </c>
      <c r="D260" s="16" t="s">
        <v>23</v>
      </c>
      <c r="E260" s="17" t="str">
        <f>HYPERLINK("https://www.compass.com/building/89-15-parsons-blvd-queens-ny-11432/293527323523755221/","89-15 Parsons Blvd")</f>
        <v>89-15 Parsons Blvd</v>
      </c>
      <c r="F260" s="15" t="s">
        <v>24</v>
      </c>
      <c r="G260" s="18">
        <v>149999</v>
      </c>
      <c r="H260" s="18"/>
      <c r="I260" s="18">
        <v>0</v>
      </c>
      <c r="J260" s="18">
        <v>0</v>
      </c>
      <c r="K260" s="15" t="s">
        <v>28</v>
      </c>
      <c r="L260" s="16">
        <v>5</v>
      </c>
      <c r="M260" s="16">
        <v>2</v>
      </c>
      <c r="N260" s="16">
        <v>1</v>
      </c>
      <c r="O260" s="16"/>
      <c r="P260" s="16"/>
      <c r="Q260" s="19">
        <v>364</v>
      </c>
      <c r="R260" s="20">
        <v>45597</v>
      </c>
      <c r="S260" s="20">
        <v>42948</v>
      </c>
      <c r="T260" s="18"/>
      <c r="U260" s="20"/>
      <c r="V260" s="1"/>
    </row>
    <row r="261" spans="1:22" ht="24" customHeight="1">
      <c r="A261" s="1"/>
      <c r="B261" s="14" t="str">
        <f>HYPERLINK("https://www.compass.com/listing/155-01-90th-avenue-unit-4l-queens-ny-11432/1726451951483108833/view?agent_id=610d3f3370540700019b0833","155-01 90th Avenue, Unit 4L")</f>
        <v>155-01 90th Avenue, Unit 4L</v>
      </c>
      <c r="C261" s="15" t="s">
        <v>52</v>
      </c>
      <c r="D261" s="16" t="s">
        <v>23</v>
      </c>
      <c r="E261" s="17" t="str">
        <f t="shared" ref="E261:E264" si="30">HYPERLINK("https://www.compass.com/building/155-01-90th-ave-queens-ny-11432/293533120169246997/","155-01 90th Ave")</f>
        <v>155-01 90th Ave</v>
      </c>
      <c r="F261" s="15" t="s">
        <v>24</v>
      </c>
      <c r="G261" s="18">
        <v>119900</v>
      </c>
      <c r="H261" s="18">
        <v>117</v>
      </c>
      <c r="I261" s="18">
        <v>0</v>
      </c>
      <c r="J261" s="18">
        <v>0</v>
      </c>
      <c r="K261" s="15" t="s">
        <v>28</v>
      </c>
      <c r="L261" s="16">
        <v>5</v>
      </c>
      <c r="M261" s="16">
        <v>2</v>
      </c>
      <c r="N261" s="16">
        <v>1</v>
      </c>
      <c r="O261" s="16"/>
      <c r="P261" s="21">
        <v>1025</v>
      </c>
      <c r="Q261" s="19">
        <v>91</v>
      </c>
      <c r="R261" s="20">
        <v>45633</v>
      </c>
      <c r="S261" s="20">
        <v>41702</v>
      </c>
      <c r="T261" s="18"/>
      <c r="U261" s="20"/>
      <c r="V261" s="1"/>
    </row>
    <row r="262" spans="1:22" ht="24" customHeight="1">
      <c r="A262" s="1"/>
      <c r="B262" s="14" t="str">
        <f>HYPERLINK("https://www.compass.com/listing/155-01-90th-avenue-unit-4l-queens-ny-11432/1726768298708513609/view?agent_id=610d3f3370540700019b0833","155-01 90th Avenue, Unit 4L")</f>
        <v>155-01 90th Avenue, Unit 4L</v>
      </c>
      <c r="C262" s="15" t="s">
        <v>52</v>
      </c>
      <c r="D262" s="16" t="s">
        <v>23</v>
      </c>
      <c r="E262" s="17" t="str">
        <f t="shared" si="30"/>
        <v>155-01 90th Ave</v>
      </c>
      <c r="F262" s="15" t="s">
        <v>24</v>
      </c>
      <c r="G262" s="18">
        <v>119900</v>
      </c>
      <c r="H262" s="18">
        <v>117</v>
      </c>
      <c r="I262" s="18">
        <v>0</v>
      </c>
      <c r="J262" s="18">
        <v>0</v>
      </c>
      <c r="K262" s="15" t="s">
        <v>28</v>
      </c>
      <c r="L262" s="16">
        <v>5</v>
      </c>
      <c r="M262" s="16">
        <v>2</v>
      </c>
      <c r="N262" s="16">
        <v>1</v>
      </c>
      <c r="O262" s="16"/>
      <c r="P262" s="21">
        <v>1025</v>
      </c>
      <c r="Q262" s="19">
        <v>92</v>
      </c>
      <c r="R262" s="20">
        <v>45634</v>
      </c>
      <c r="S262" s="20">
        <v>41865</v>
      </c>
      <c r="T262" s="18"/>
      <c r="U262" s="20"/>
      <c r="V262" s="1"/>
    </row>
    <row r="263" spans="1:22" ht="24" customHeight="1">
      <c r="A263" s="1"/>
      <c r="B263" s="14" t="str">
        <f>HYPERLINK("https://www.compass.com/listing/155-01-90th-avenue-unit-4l-queens-ny-11432/1730513149393523113/view?agent_id=610d3f3370540700019b0833","155-01 90th Avenue, Unit 4L")</f>
        <v>155-01 90th Avenue, Unit 4L</v>
      </c>
      <c r="C263" s="15" t="s">
        <v>52</v>
      </c>
      <c r="D263" s="16" t="s">
        <v>23</v>
      </c>
      <c r="E263" s="17" t="str">
        <f t="shared" si="30"/>
        <v>155-01 90th Ave</v>
      </c>
      <c r="F263" s="15" t="s">
        <v>24</v>
      </c>
      <c r="G263" s="18">
        <v>119000</v>
      </c>
      <c r="H263" s="18"/>
      <c r="I263" s="18">
        <v>0</v>
      </c>
      <c r="J263" s="18">
        <v>0</v>
      </c>
      <c r="K263" s="15" t="s">
        <v>28</v>
      </c>
      <c r="L263" s="16">
        <v>5</v>
      </c>
      <c r="M263" s="16">
        <v>2</v>
      </c>
      <c r="N263" s="16">
        <v>1</v>
      </c>
      <c r="O263" s="16"/>
      <c r="P263" s="16"/>
      <c r="Q263" s="19">
        <v>92</v>
      </c>
      <c r="R263" s="20">
        <v>45597</v>
      </c>
      <c r="S263" s="20">
        <v>41589</v>
      </c>
      <c r="T263" s="18"/>
      <c r="U263" s="20"/>
      <c r="V263" s="1"/>
    </row>
    <row r="264" spans="1:22" ht="24" customHeight="1">
      <c r="A264" s="1"/>
      <c r="B264" s="14" t="str">
        <f>HYPERLINK("https://www.compass.com/listing/155-01-90th-avenue-unit-4l-queens-ny-11432/1730616378537856353/view?agent_id=610d3f3370540700019b0833","155-01 90th Avenue, Unit 4L")</f>
        <v>155-01 90th Avenue, Unit 4L</v>
      </c>
      <c r="C264" s="15" t="s">
        <v>52</v>
      </c>
      <c r="D264" s="16" t="s">
        <v>23</v>
      </c>
      <c r="E264" s="17" t="str">
        <f t="shared" si="30"/>
        <v>155-01 90th Ave</v>
      </c>
      <c r="F264" s="15" t="s">
        <v>24</v>
      </c>
      <c r="G264" s="18">
        <v>129000</v>
      </c>
      <c r="H264" s="18"/>
      <c r="I264" s="18">
        <v>0</v>
      </c>
      <c r="J264" s="18">
        <v>0</v>
      </c>
      <c r="K264" s="15" t="s">
        <v>28</v>
      </c>
      <c r="L264" s="16">
        <v>5</v>
      </c>
      <c r="M264" s="16">
        <v>2</v>
      </c>
      <c r="N264" s="16">
        <v>1</v>
      </c>
      <c r="O264" s="16"/>
      <c r="P264" s="16"/>
      <c r="Q264" s="19">
        <v>88</v>
      </c>
      <c r="R264" s="20">
        <v>45597</v>
      </c>
      <c r="S264" s="20">
        <v>41325</v>
      </c>
      <c r="T264" s="18"/>
      <c r="U264" s="20"/>
      <c r="V264" s="1"/>
    </row>
    <row r="265" spans="1:22" ht="24" customHeight="1">
      <c r="A265" s="1"/>
      <c r="B265" s="14" t="str">
        <f>HYPERLINK("https://www.compass.com/listing/160-10-89th-avenue-unit-15l-queens-ny-11432/1759647040447975977/view?agent_id=610d3f3370540700019b0833","160-10 89th Avenue, Unit 15L")</f>
        <v>160-10 89th Avenue, Unit 15L</v>
      </c>
      <c r="C265" s="15" t="s">
        <v>53</v>
      </c>
      <c r="D265" s="16" t="s">
        <v>23</v>
      </c>
      <c r="E265" s="17" t="str">
        <f t="shared" ref="E265:E268" si="31">HYPERLINK("https://www.compass.com/building/160-10-89th-ave-queens-ny-11432/293533475963683173/","160-10 89th Ave")</f>
        <v>160-10 89th Ave</v>
      </c>
      <c r="F265" s="15" t="s">
        <v>24</v>
      </c>
      <c r="G265" s="18">
        <v>279000</v>
      </c>
      <c r="H265" s="18"/>
      <c r="I265" s="18">
        <v>1025</v>
      </c>
      <c r="J265" s="18"/>
      <c r="K265" s="15" t="s">
        <v>28</v>
      </c>
      <c r="L265" s="16">
        <v>5</v>
      </c>
      <c r="M265" s="16">
        <v>2</v>
      </c>
      <c r="N265" s="16">
        <v>1</v>
      </c>
      <c r="O265" s="16"/>
      <c r="P265" s="16"/>
      <c r="Q265" s="19">
        <v>0</v>
      </c>
      <c r="R265" s="20">
        <v>45679</v>
      </c>
      <c r="S265" s="20">
        <v>45679</v>
      </c>
      <c r="T265" s="18"/>
      <c r="U265" s="20"/>
      <c r="V265" s="1"/>
    </row>
    <row r="266" spans="1:22" ht="24" customHeight="1">
      <c r="A266" s="1"/>
      <c r="B266" s="14" t="str">
        <f>HYPERLINK("https://www.compass.com/listing/160-10-89th-avenue-unit-6k-queens-ny-11432/500848753845129689/view?agent_id=610d3f3370540700019b0833","160-10 89th Avenue, Unit 6K")</f>
        <v>160-10 89th Avenue, Unit 6K</v>
      </c>
      <c r="C266" s="15" t="s">
        <v>52</v>
      </c>
      <c r="D266" s="16" t="s">
        <v>23</v>
      </c>
      <c r="E266" s="17" t="str">
        <f t="shared" si="31"/>
        <v>160-10 89th Ave</v>
      </c>
      <c r="F266" s="15" t="s">
        <v>24</v>
      </c>
      <c r="G266" s="18">
        <v>185000</v>
      </c>
      <c r="H266" s="18"/>
      <c r="I266" s="18">
        <v>0</v>
      </c>
      <c r="J266" s="18">
        <v>0</v>
      </c>
      <c r="K266" s="15" t="s">
        <v>28</v>
      </c>
      <c r="L266" s="16">
        <v>5</v>
      </c>
      <c r="M266" s="16">
        <v>2</v>
      </c>
      <c r="N266" s="16">
        <v>1</v>
      </c>
      <c r="O266" s="16"/>
      <c r="P266" s="16"/>
      <c r="Q266" s="19">
        <v>364</v>
      </c>
      <c r="R266" s="20">
        <v>45635</v>
      </c>
      <c r="S266" s="20">
        <v>42541</v>
      </c>
      <c r="T266" s="18"/>
      <c r="U266" s="20"/>
      <c r="V266" s="1"/>
    </row>
    <row r="267" spans="1:22" ht="24" customHeight="1">
      <c r="A267" s="1"/>
      <c r="B267" s="14" t="str">
        <f>HYPERLINK("https://www.compass.com/listing/160-10-89th-avenue-unit-15e-queens-ny-11432/1730628473787046489/view?agent_id=610d3f3370540700019b0833","160-10 89th Avenue, Unit 15E")</f>
        <v>160-10 89th Avenue, Unit 15E</v>
      </c>
      <c r="C267" s="15" t="s">
        <v>52</v>
      </c>
      <c r="D267" s="16" t="s">
        <v>23</v>
      </c>
      <c r="E267" s="17" t="str">
        <f t="shared" si="31"/>
        <v>160-10 89th Ave</v>
      </c>
      <c r="F267" s="15" t="s">
        <v>24</v>
      </c>
      <c r="G267" s="18">
        <v>110000</v>
      </c>
      <c r="H267" s="18"/>
      <c r="I267" s="18">
        <v>0</v>
      </c>
      <c r="J267" s="18">
        <v>0</v>
      </c>
      <c r="K267" s="15" t="s">
        <v>28</v>
      </c>
      <c r="L267" s="16">
        <v>4</v>
      </c>
      <c r="M267" s="16">
        <v>2</v>
      </c>
      <c r="N267" s="16">
        <v>1</v>
      </c>
      <c r="O267" s="16"/>
      <c r="P267" s="16"/>
      <c r="Q267" s="19">
        <v>365</v>
      </c>
      <c r="R267" s="20">
        <v>45597</v>
      </c>
      <c r="S267" s="20">
        <v>41569</v>
      </c>
      <c r="T267" s="18"/>
      <c r="U267" s="20"/>
      <c r="V267" s="1"/>
    </row>
    <row r="268" spans="1:22" ht="24" customHeight="1">
      <c r="A268" s="1"/>
      <c r="B268" s="14" t="str">
        <f>HYPERLINK("https://www.compass.com/listing/160-10-89th-avenue-unit-15e-queens-ny-11432/1730702713135676137/view?agent_id=610d3f3370540700019b0833","160-10 89th Avenue, Unit 15E")</f>
        <v>160-10 89th Avenue, Unit 15E</v>
      </c>
      <c r="C268" s="15" t="s">
        <v>52</v>
      </c>
      <c r="D268" s="16" t="s">
        <v>23</v>
      </c>
      <c r="E268" s="17" t="str">
        <f t="shared" si="31"/>
        <v>160-10 89th Ave</v>
      </c>
      <c r="F268" s="15" t="s">
        <v>24</v>
      </c>
      <c r="G268" s="18">
        <v>120000</v>
      </c>
      <c r="H268" s="18"/>
      <c r="I268" s="18">
        <v>0</v>
      </c>
      <c r="J268" s="18">
        <v>0</v>
      </c>
      <c r="K268" s="15" t="s">
        <v>28</v>
      </c>
      <c r="L268" s="16">
        <v>4</v>
      </c>
      <c r="M268" s="16">
        <v>2</v>
      </c>
      <c r="N268" s="16">
        <v>1</v>
      </c>
      <c r="O268" s="16"/>
      <c r="P268" s="16"/>
      <c r="Q268" s="19">
        <v>204</v>
      </c>
      <c r="R268" s="20">
        <v>45597</v>
      </c>
      <c r="S268" s="20">
        <v>41312</v>
      </c>
      <c r="T268" s="18"/>
      <c r="U268" s="20"/>
      <c r="V268" s="1"/>
    </row>
    <row r="269" spans="1:22" ht="24" customHeight="1">
      <c r="A269" s="1"/>
      <c r="B269" s="14" t="str">
        <f>HYPERLINK("https://www.compass.com/listing/89-15-parsons-boulevard-unit-12n-queens-ny-11432/197766506669513025/view?agent_id=610d3f3370540700019b0833","89-15 Parsons Boulevard, Unit 12N")</f>
        <v>89-15 Parsons Boulevard, Unit 12N</v>
      </c>
      <c r="C269" s="15" t="s">
        <v>52</v>
      </c>
      <c r="D269" s="16" t="s">
        <v>23</v>
      </c>
      <c r="E269" s="17" t="str">
        <f>HYPERLINK("https://www.compass.com/building/89-15-parsons-blvd-queens-ny-11432/293527323523755221/","89-15 Parsons Blvd")</f>
        <v>89-15 Parsons Blvd</v>
      </c>
      <c r="F269" s="15" t="s">
        <v>24</v>
      </c>
      <c r="G269" s="18">
        <v>215000</v>
      </c>
      <c r="H269" s="18"/>
      <c r="I269" s="18">
        <v>0</v>
      </c>
      <c r="J269" s="18">
        <v>0</v>
      </c>
      <c r="K269" s="15" t="s">
        <v>28</v>
      </c>
      <c r="L269" s="16">
        <v>5</v>
      </c>
      <c r="M269" s="16">
        <v>2</v>
      </c>
      <c r="N269" s="16">
        <v>1</v>
      </c>
      <c r="O269" s="16"/>
      <c r="P269" s="16"/>
      <c r="Q269" s="19">
        <v>364</v>
      </c>
      <c r="R269" s="20">
        <v>45597</v>
      </c>
      <c r="S269" s="20">
        <v>42929</v>
      </c>
      <c r="T269" s="18"/>
      <c r="U269" s="20"/>
      <c r="V269" s="1"/>
    </row>
    <row r="270" spans="1:22" ht="24" customHeight="1">
      <c r="A270" s="1"/>
      <c r="B270" s="14" t="str">
        <f>HYPERLINK("https://www.compass.com/listing/175-45-88th-avenue-unit-6o-queens-ny-11432/500847664297149737/view?agent_id=610d3f3370540700019b0833","175-45 88th Avenue, Unit 6O")</f>
        <v>175-45 88th Avenue, Unit 6O</v>
      </c>
      <c r="C270" s="15" t="s">
        <v>52</v>
      </c>
      <c r="D270" s="16" t="s">
        <v>23</v>
      </c>
      <c r="E270" s="17" t="str">
        <f>HYPERLINK("https://www.compass.com/building/175-45-88th-ave-queens-ny-11432/293532280863901109/","175-45 88th Ave")</f>
        <v>175-45 88th Ave</v>
      </c>
      <c r="F270" s="15" t="s">
        <v>24</v>
      </c>
      <c r="G270" s="18">
        <v>220000</v>
      </c>
      <c r="H270" s="18"/>
      <c r="I270" s="18">
        <v>0</v>
      </c>
      <c r="J270" s="18">
        <v>0</v>
      </c>
      <c r="K270" s="15" t="s">
        <v>28</v>
      </c>
      <c r="L270" s="16">
        <v>5</v>
      </c>
      <c r="M270" s="16">
        <v>2</v>
      </c>
      <c r="N270" s="16">
        <v>1</v>
      </c>
      <c r="O270" s="16"/>
      <c r="P270" s="16"/>
      <c r="Q270" s="19">
        <v>183</v>
      </c>
      <c r="R270" s="20">
        <v>45597</v>
      </c>
      <c r="S270" s="20">
        <v>42521</v>
      </c>
      <c r="T270" s="18"/>
      <c r="U270" s="20"/>
      <c r="V270" s="1"/>
    </row>
    <row r="271" spans="1:22" ht="24" customHeight="1">
      <c r="A271" s="1"/>
      <c r="B271" s="14" t="str">
        <f>HYPERLINK("https://www.compass.com/listing/89-00-170th-street-unit-7d-queens-ny-11432/1603888190693426553/view?agent_id=610d3f3370540700019b0833","89-00 170th Street, Unit 7D")</f>
        <v>89-00 170th Street, Unit 7D</v>
      </c>
      <c r="C271" s="15" t="s">
        <v>52</v>
      </c>
      <c r="D271" s="16" t="s">
        <v>23</v>
      </c>
      <c r="E271" s="17" t="str">
        <f t="shared" ref="E271:E272" si="32">HYPERLINK("https://www.compass.com/building/89-00-170th-st-queens-ny-11432/307449656485080949/","89-00 170th St")</f>
        <v>89-00 170th St</v>
      </c>
      <c r="F271" s="15" t="s">
        <v>24</v>
      </c>
      <c r="G271" s="18">
        <v>189000</v>
      </c>
      <c r="H271" s="18">
        <v>222</v>
      </c>
      <c r="I271" s="18">
        <v>0</v>
      </c>
      <c r="J271" s="18">
        <v>0</v>
      </c>
      <c r="K271" s="15" t="s">
        <v>28</v>
      </c>
      <c r="L271" s="16">
        <v>5</v>
      </c>
      <c r="M271" s="16">
        <v>2</v>
      </c>
      <c r="N271" s="16">
        <v>1</v>
      </c>
      <c r="O271" s="16"/>
      <c r="P271" s="16">
        <v>850</v>
      </c>
      <c r="Q271" s="19">
        <v>92</v>
      </c>
      <c r="R271" s="20">
        <v>45597</v>
      </c>
      <c r="S271" s="20">
        <v>45464</v>
      </c>
      <c r="T271" s="18"/>
      <c r="U271" s="20"/>
      <c r="V271" s="1"/>
    </row>
    <row r="272" spans="1:22" ht="24" customHeight="1">
      <c r="A272" s="1"/>
      <c r="B272" s="14" t="str">
        <f>HYPERLINK("https://www.compass.com/listing/89-00-170th-street-unit-7d-queens-ny-11432/1577042284447718073/view?agent_id=610d3f3370540700019b0833","89-00 170th Street, Unit 7D")</f>
        <v>89-00 170th Street, Unit 7D</v>
      </c>
      <c r="C272" s="15" t="s">
        <v>52</v>
      </c>
      <c r="D272" s="16" t="s">
        <v>23</v>
      </c>
      <c r="E272" s="17" t="str">
        <f t="shared" si="32"/>
        <v>89-00 170th St</v>
      </c>
      <c r="F272" s="15" t="s">
        <v>24</v>
      </c>
      <c r="G272" s="18">
        <v>189000</v>
      </c>
      <c r="H272" s="18"/>
      <c r="I272" s="18">
        <v>0</v>
      </c>
      <c r="J272" s="18">
        <v>0</v>
      </c>
      <c r="K272" s="15" t="s">
        <v>28</v>
      </c>
      <c r="L272" s="16">
        <v>5</v>
      </c>
      <c r="M272" s="16">
        <v>2</v>
      </c>
      <c r="N272" s="16">
        <v>1</v>
      </c>
      <c r="O272" s="16"/>
      <c r="P272" s="16"/>
      <c r="Q272" s="19">
        <v>98</v>
      </c>
      <c r="R272" s="20">
        <v>45597</v>
      </c>
      <c r="S272" s="20">
        <v>45428</v>
      </c>
      <c r="T272" s="18"/>
      <c r="U272" s="20"/>
      <c r="V272" s="1"/>
    </row>
    <row r="273" spans="1:22" ht="24" customHeight="1">
      <c r="A273" s="1"/>
      <c r="B273" s="14" t="str">
        <f>HYPERLINK("https://www.compass.com/listing/89-15-parsons-boulevard-unit-12f-queens-ny-11432/29128939012125905/view?agent_id=610d3f3370540700019b0833","89-15 Parsons Boulevard, Unit 12F")</f>
        <v>89-15 Parsons Boulevard, Unit 12F</v>
      </c>
      <c r="C273" s="15" t="s">
        <v>52</v>
      </c>
      <c r="D273" s="16" t="s">
        <v>23</v>
      </c>
      <c r="E273" s="17" t="str">
        <f t="shared" ref="E273:E274" si="33">HYPERLINK("https://www.compass.com/building/89-15-parsons-blvd-queens-ny-11432/293527323523755221/","89-15 Parsons Blvd")</f>
        <v>89-15 Parsons Blvd</v>
      </c>
      <c r="F273" s="15" t="s">
        <v>24</v>
      </c>
      <c r="G273" s="18">
        <v>199000</v>
      </c>
      <c r="H273" s="18"/>
      <c r="I273" s="18">
        <v>0</v>
      </c>
      <c r="J273" s="18">
        <v>0</v>
      </c>
      <c r="K273" s="15" t="s">
        <v>28</v>
      </c>
      <c r="L273" s="16">
        <v>5</v>
      </c>
      <c r="M273" s="16">
        <v>2</v>
      </c>
      <c r="N273" s="16">
        <v>1</v>
      </c>
      <c r="O273" s="16"/>
      <c r="P273" s="16"/>
      <c r="Q273" s="19">
        <v>730</v>
      </c>
      <c r="R273" s="20">
        <v>45597</v>
      </c>
      <c r="S273" s="20">
        <v>41408</v>
      </c>
      <c r="T273" s="18"/>
      <c r="U273" s="20"/>
      <c r="V273" s="1"/>
    </row>
    <row r="274" spans="1:22" ht="24" customHeight="1">
      <c r="A274" s="1"/>
      <c r="B274" s="14" t="str">
        <f>HYPERLINK("https://www.compass.com/listing/89-15-parsons-boulevard-unit-g-queens-ny-11432/328984249164201153/view?agent_id=610d3f3370540700019b0833","89-15 Parsons Boulevard, Unit G")</f>
        <v>89-15 Parsons Boulevard, Unit G</v>
      </c>
      <c r="C274" s="15" t="s">
        <v>54</v>
      </c>
      <c r="D274" s="16" t="s">
        <v>23</v>
      </c>
      <c r="E274" s="17" t="str">
        <f t="shared" si="33"/>
        <v>89-15 Parsons Blvd</v>
      </c>
      <c r="F274" s="15" t="s">
        <v>24</v>
      </c>
      <c r="G274" s="18">
        <v>235000</v>
      </c>
      <c r="H274" s="18"/>
      <c r="I274" s="18">
        <v>1070</v>
      </c>
      <c r="J274" s="18">
        <v>0</v>
      </c>
      <c r="K274" s="15" t="s">
        <v>28</v>
      </c>
      <c r="L274" s="16">
        <v>5</v>
      </c>
      <c r="M274" s="16">
        <v>2</v>
      </c>
      <c r="N274" s="16">
        <v>1</v>
      </c>
      <c r="O274" s="16"/>
      <c r="P274" s="16"/>
      <c r="Q274" s="19">
        <v>148</v>
      </c>
      <c r="R274" s="20">
        <v>44649</v>
      </c>
      <c r="S274" s="20">
        <v>43544</v>
      </c>
      <c r="T274" s="18"/>
      <c r="U274" s="20"/>
      <c r="V274" s="1"/>
    </row>
    <row r="275" spans="1:22" ht="24" customHeight="1">
      <c r="A275" s="1"/>
      <c r="B275" s="14" t="str">
        <f>HYPERLINK("https://www.compass.com/listing/155-01-90th-avenue-unit-2c-queens-ny-11432/470115635822039985/view?agent_id=610d3f3370540700019b0833","155-01 90th Avenue, Unit 2C")</f>
        <v>155-01 90th Avenue, Unit 2C</v>
      </c>
      <c r="C275" s="15" t="s">
        <v>52</v>
      </c>
      <c r="D275" s="16" t="s">
        <v>23</v>
      </c>
      <c r="E275" s="17" t="str">
        <f>HYPERLINK("https://www.compass.com/building/155-01-90th-ave-queens-ny-11432/293533120169246997/","155-01 90th Ave")</f>
        <v>155-01 90th Ave</v>
      </c>
      <c r="F275" s="15" t="s">
        <v>24</v>
      </c>
      <c r="G275" s="18">
        <v>274999</v>
      </c>
      <c r="H275" s="18"/>
      <c r="I275" s="18">
        <v>0</v>
      </c>
      <c r="J275" s="18">
        <v>0</v>
      </c>
      <c r="K275" s="15" t="s">
        <v>28</v>
      </c>
      <c r="L275" s="16">
        <v>5</v>
      </c>
      <c r="M275" s="16">
        <v>2</v>
      </c>
      <c r="N275" s="16">
        <v>1</v>
      </c>
      <c r="O275" s="16"/>
      <c r="P275" s="16"/>
      <c r="Q275" s="19">
        <v>296</v>
      </c>
      <c r="R275" s="20">
        <v>45597</v>
      </c>
      <c r="S275" s="20">
        <v>43900</v>
      </c>
      <c r="T275" s="18"/>
      <c r="U275" s="20"/>
      <c r="V275" s="1"/>
    </row>
    <row r="276" spans="1:22" ht="24" customHeight="1">
      <c r="A276" s="1"/>
      <c r="B276" s="14" t="str">
        <f>HYPERLINK("https://www.compass.com/listing/89-15-parsons-boulevard-unit-9g-queens-ny-11432/218779784732214129/view?agent_id=610d3f3370540700019b0833","89-15 Parsons Boulevard, Unit 9G")</f>
        <v>89-15 Parsons Boulevard, Unit 9G</v>
      </c>
      <c r="C276" s="15" t="s">
        <v>52</v>
      </c>
      <c r="D276" s="16" t="s">
        <v>23</v>
      </c>
      <c r="E276" s="17" t="str">
        <f t="shared" ref="E276:E277" si="34">HYPERLINK("https://www.compass.com/building/89-15-parsons-blvd-queens-ny-11432/293527323523755221/","89-15 Parsons Blvd")</f>
        <v>89-15 Parsons Blvd</v>
      </c>
      <c r="F276" s="15" t="s">
        <v>24</v>
      </c>
      <c r="G276" s="18">
        <v>234999</v>
      </c>
      <c r="H276" s="18"/>
      <c r="I276" s="18">
        <v>0</v>
      </c>
      <c r="J276" s="18">
        <v>0</v>
      </c>
      <c r="K276" s="15" t="s">
        <v>28</v>
      </c>
      <c r="L276" s="16">
        <v>5</v>
      </c>
      <c r="M276" s="16">
        <v>2</v>
      </c>
      <c r="N276" s="16">
        <v>1</v>
      </c>
      <c r="O276" s="16"/>
      <c r="P276" s="16"/>
      <c r="Q276" s="19">
        <v>271</v>
      </c>
      <c r="R276" s="20">
        <v>45637</v>
      </c>
      <c r="S276" s="20">
        <v>43553</v>
      </c>
      <c r="T276" s="18"/>
      <c r="U276" s="20"/>
      <c r="V276" s="1"/>
    </row>
    <row r="277" spans="1:22" ht="24" customHeight="1">
      <c r="A277" s="1"/>
      <c r="B277" s="14" t="str">
        <f>HYPERLINK("https://www.compass.com/listing/89-15-parsons-boulevard-unit-2n-queens-ny-11432/1726426694164448353/view?agent_id=610d3f3370540700019b0833","89-15 Parsons Boulevard, Unit 2N")</f>
        <v>89-15 Parsons Boulevard, Unit 2N</v>
      </c>
      <c r="C277" s="15" t="s">
        <v>52</v>
      </c>
      <c r="D277" s="16" t="s">
        <v>23</v>
      </c>
      <c r="E277" s="17" t="str">
        <f t="shared" si="34"/>
        <v>89-15 Parsons Blvd</v>
      </c>
      <c r="F277" s="15" t="s">
        <v>24</v>
      </c>
      <c r="G277" s="18">
        <v>175000</v>
      </c>
      <c r="H277" s="18"/>
      <c r="I277" s="18">
        <v>0</v>
      </c>
      <c r="J277" s="18">
        <v>0</v>
      </c>
      <c r="K277" s="15" t="s">
        <v>28</v>
      </c>
      <c r="L277" s="16">
        <v>5</v>
      </c>
      <c r="M277" s="16">
        <v>2</v>
      </c>
      <c r="N277" s="16">
        <v>1</v>
      </c>
      <c r="O277" s="16"/>
      <c r="P277" s="16"/>
      <c r="Q277" s="19">
        <v>365</v>
      </c>
      <c r="R277" s="20">
        <v>45633</v>
      </c>
      <c r="S277" s="20">
        <v>41677</v>
      </c>
      <c r="T277" s="18"/>
      <c r="U277" s="20"/>
      <c r="V277" s="1"/>
    </row>
    <row r="278" spans="1:22" ht="24" customHeight="1">
      <c r="A278" s="1"/>
      <c r="B278" s="14" t="str">
        <f>HYPERLINK("https://www.compass.com/listing/175-45-88th-avenue-unit-5n-queens-ny-11432/197773629788875489/view?agent_id=610d3f3370540700019b0833","175-45 88th Avenue, Unit 5N")</f>
        <v>175-45 88th Avenue, Unit 5N</v>
      </c>
      <c r="C278" s="15" t="s">
        <v>54</v>
      </c>
      <c r="D278" s="16" t="s">
        <v>23</v>
      </c>
      <c r="E278" s="17" t="str">
        <f>HYPERLINK("https://www.compass.com/building/175-45-88th-ave-queens-ny-11432/293532280863901109/","175-45 88th Ave")</f>
        <v>175-45 88th Ave</v>
      </c>
      <c r="F278" s="15" t="s">
        <v>24</v>
      </c>
      <c r="G278" s="18">
        <v>249999</v>
      </c>
      <c r="H278" s="18"/>
      <c r="I278" s="18">
        <v>0</v>
      </c>
      <c r="J278" s="18">
        <v>0</v>
      </c>
      <c r="K278" s="15" t="s">
        <v>28</v>
      </c>
      <c r="L278" s="16">
        <v>5</v>
      </c>
      <c r="M278" s="16">
        <v>2</v>
      </c>
      <c r="N278" s="16">
        <v>1</v>
      </c>
      <c r="O278" s="16"/>
      <c r="P278" s="16"/>
      <c r="Q278" s="19">
        <v>58</v>
      </c>
      <c r="R278" s="20">
        <v>45636</v>
      </c>
      <c r="S278" s="20">
        <v>43138</v>
      </c>
      <c r="T278" s="18"/>
      <c r="U278" s="20"/>
      <c r="V278" s="1"/>
    </row>
    <row r="279" spans="1:22" ht="24" customHeight="1">
      <c r="A279" s="1"/>
      <c r="B279" s="14" t="str">
        <f>HYPERLINK("https://www.compass.com/listing/160-10-89th-avenue-unit-10k-queens-ny-11432/1726865367527426825/view?agent_id=610d3f3370540700019b0833","160-10 89th Avenue, Unit 10K")</f>
        <v>160-10 89th Avenue, Unit 10K</v>
      </c>
      <c r="C279" s="15" t="s">
        <v>52</v>
      </c>
      <c r="D279" s="16" t="s">
        <v>23</v>
      </c>
      <c r="E279" s="17" t="str">
        <f>HYPERLINK("https://www.compass.com/building/160-10-89th-ave-queens-ny-11432/293533475963683173/","160-10 89th Ave")</f>
        <v>160-10 89th Ave</v>
      </c>
      <c r="F279" s="15" t="s">
        <v>24</v>
      </c>
      <c r="G279" s="18">
        <v>185000</v>
      </c>
      <c r="H279" s="18">
        <v>211</v>
      </c>
      <c r="I279" s="18">
        <v>225</v>
      </c>
      <c r="J279" s="18">
        <v>2700</v>
      </c>
      <c r="K279" s="15" t="s">
        <v>28</v>
      </c>
      <c r="L279" s="16">
        <v>5</v>
      </c>
      <c r="M279" s="16">
        <v>2</v>
      </c>
      <c r="N279" s="16">
        <v>1</v>
      </c>
      <c r="O279" s="16"/>
      <c r="P279" s="16">
        <v>875</v>
      </c>
      <c r="Q279" s="19">
        <v>372</v>
      </c>
      <c r="R279" s="20">
        <v>45634</v>
      </c>
      <c r="S279" s="20">
        <v>41951</v>
      </c>
      <c r="T279" s="18"/>
      <c r="U279" s="20"/>
      <c r="V279" s="1"/>
    </row>
    <row r="280" spans="1:22" ht="24" customHeight="1">
      <c r="A280" s="1"/>
      <c r="B280" s="14" t="str">
        <f>HYPERLINK("https://www.compass.com/listing/175-45-88th-avenue-unit-6o-queens-ny-11432/1726893708146045121/view?agent_id=610d3f3370540700019b0833","175-45 88th Avenue, Unit 6O")</f>
        <v>175-45 88th Avenue, Unit 6O</v>
      </c>
      <c r="C280" s="15" t="s">
        <v>52</v>
      </c>
      <c r="D280" s="16" t="s">
        <v>23</v>
      </c>
      <c r="E280" s="17" t="str">
        <f>HYPERLINK("https://www.compass.com/building/175-45-88th-ave-queens-ny-11432/293532280863901109/","175-45 88th Ave")</f>
        <v>175-45 88th Ave</v>
      </c>
      <c r="F280" s="15" t="s">
        <v>24</v>
      </c>
      <c r="G280" s="18">
        <v>240000</v>
      </c>
      <c r="H280" s="18"/>
      <c r="I280" s="18">
        <v>0</v>
      </c>
      <c r="J280" s="18">
        <v>0</v>
      </c>
      <c r="K280" s="15" t="s">
        <v>28</v>
      </c>
      <c r="L280" s="16">
        <v>5</v>
      </c>
      <c r="M280" s="16">
        <v>2</v>
      </c>
      <c r="N280" s="16">
        <v>1</v>
      </c>
      <c r="O280" s="16"/>
      <c r="P280" s="16"/>
      <c r="Q280" s="19">
        <v>381</v>
      </c>
      <c r="R280" s="20">
        <v>45634</v>
      </c>
      <c r="S280" s="20">
        <v>41988</v>
      </c>
      <c r="T280" s="18"/>
      <c r="U280" s="20"/>
      <c r="V280" s="1"/>
    </row>
    <row r="281" spans="1:22" ht="24" customHeight="1">
      <c r="A281" s="1"/>
      <c r="B281" s="14" t="str">
        <f>HYPERLINK("https://www.compass.com/listing/160-10-89th-avenue-unit-15l-queens-ny-11432/692842294488014873/view?agent_id=610d3f3370540700019b0833","160-10 89th Avenue, Unit 15L")</f>
        <v>160-10 89th Avenue, Unit 15L</v>
      </c>
      <c r="C281" s="15" t="s">
        <v>52</v>
      </c>
      <c r="D281" s="16" t="s">
        <v>23</v>
      </c>
      <c r="E281" s="17" t="str">
        <f t="shared" ref="E281:E282" si="35">HYPERLINK("https://www.compass.com/building/160-10-89th-ave-queens-ny-11432/293533475963683173/","160-10 89th Ave")</f>
        <v>160-10 89th Ave</v>
      </c>
      <c r="F281" s="15" t="s">
        <v>24</v>
      </c>
      <c r="G281" s="18">
        <v>279000</v>
      </c>
      <c r="H281" s="18"/>
      <c r="I281" s="18">
        <v>1032</v>
      </c>
      <c r="J281" s="18">
        <v>0</v>
      </c>
      <c r="K281" s="15" t="s">
        <v>28</v>
      </c>
      <c r="L281" s="16">
        <v>5</v>
      </c>
      <c r="M281" s="16">
        <v>2</v>
      </c>
      <c r="N281" s="16">
        <v>1</v>
      </c>
      <c r="O281" s="16"/>
      <c r="P281" s="16"/>
      <c r="Q281" s="19">
        <v>1301</v>
      </c>
      <c r="R281" s="20">
        <v>45658</v>
      </c>
      <c r="S281" s="20">
        <v>44207</v>
      </c>
      <c r="T281" s="18"/>
      <c r="U281" s="20"/>
      <c r="V281" s="1"/>
    </row>
    <row r="282" spans="1:22" ht="24" customHeight="1">
      <c r="A282" s="1"/>
      <c r="B282" s="14" t="str">
        <f>HYPERLINK("https://www.compass.com/listing/160-10-89th-avenue-unit-15-queens-ny-11432/1838913395118609841/view?agent_id=610d3f3370540700019b0833","160-10 89th Avenue, Unit 15")</f>
        <v>160-10 89th Avenue, Unit 15</v>
      </c>
      <c r="C282" s="15" t="s">
        <v>54</v>
      </c>
      <c r="D282" s="16" t="s">
        <v>23</v>
      </c>
      <c r="E282" s="17" t="str">
        <f t="shared" si="35"/>
        <v>160-10 89th Ave</v>
      </c>
      <c r="F282" s="15" t="s">
        <v>24</v>
      </c>
      <c r="G282" s="18">
        <v>300000</v>
      </c>
      <c r="H282" s="18"/>
      <c r="I282" s="18">
        <v>1100</v>
      </c>
      <c r="J282" s="18"/>
      <c r="K282" s="15" t="s">
        <v>28</v>
      </c>
      <c r="L282" s="16">
        <v>3</v>
      </c>
      <c r="M282" s="16">
        <v>2</v>
      </c>
      <c r="N282" s="16">
        <v>1</v>
      </c>
      <c r="O282" s="16">
        <v>0</v>
      </c>
      <c r="P282" s="16"/>
      <c r="Q282" s="19">
        <v>1</v>
      </c>
      <c r="R282" s="20">
        <v>44581</v>
      </c>
      <c r="S282" s="20">
        <v>44286</v>
      </c>
      <c r="T282" s="18"/>
      <c r="U282" s="20"/>
      <c r="V282" s="1"/>
    </row>
    <row r="283" spans="1:22" ht="24" customHeight="1">
      <c r="A283" s="1"/>
      <c r="B283" s="14" t="str">
        <f>HYPERLINK("https://www.compass.com/listing/89-00-170th-street-unit-7d-queens-ny-11432/584727960362424393/view?agent_id=610d3f3370540700019b0833","89-00 170th Street, Unit 7D")</f>
        <v>89-00 170th Street, Unit 7D</v>
      </c>
      <c r="C283" s="15" t="s">
        <v>52</v>
      </c>
      <c r="D283" s="16" t="s">
        <v>23</v>
      </c>
      <c r="E283" s="17" t="str">
        <f>HYPERLINK("https://www.compass.com/building/89-00-170th-st-queens-ny-11432/307449656485080949/","89-00 170th St")</f>
        <v>89-00 170th St</v>
      </c>
      <c r="F283" s="15" t="s">
        <v>24</v>
      </c>
      <c r="G283" s="18">
        <v>209000</v>
      </c>
      <c r="H283" s="18">
        <v>209</v>
      </c>
      <c r="I283" s="18">
        <v>0</v>
      </c>
      <c r="J283" s="18">
        <v>0</v>
      </c>
      <c r="K283" s="15" t="s">
        <v>28</v>
      </c>
      <c r="L283" s="16">
        <v>4</v>
      </c>
      <c r="M283" s="16">
        <v>2</v>
      </c>
      <c r="N283" s="16">
        <v>1</v>
      </c>
      <c r="O283" s="16"/>
      <c r="P283" s="21">
        <v>1000</v>
      </c>
      <c r="Q283" s="19">
        <v>66</v>
      </c>
      <c r="R283" s="20">
        <v>45631</v>
      </c>
      <c r="S283" s="20">
        <v>44057</v>
      </c>
      <c r="T283" s="18"/>
      <c r="U283" s="20"/>
      <c r="V283" s="1"/>
    </row>
    <row r="284" spans="1:22" ht="24" customHeight="1">
      <c r="A284" s="1"/>
      <c r="B284" s="14" t="str">
        <f>HYPERLINK("https://www.compass.com/listing/160-10-89th-avenue-unit-15e-queens-ny-11432/1058708898579785665/view?agent_id=610d3f3370540700019b0833","160-10 89th Avenue, Unit 15E")</f>
        <v>160-10 89th Avenue, Unit 15E</v>
      </c>
      <c r="C284" s="15" t="s">
        <v>52</v>
      </c>
      <c r="D284" s="16" t="s">
        <v>23</v>
      </c>
      <c r="E284" s="17" t="str">
        <f t="shared" ref="E284:E285" si="36">HYPERLINK("https://www.compass.com/building/160-10-89th-ave-queens-ny-11432/293533475963683173/","160-10 89th Ave")</f>
        <v>160-10 89th Ave</v>
      </c>
      <c r="F284" s="15" t="s">
        <v>24</v>
      </c>
      <c r="G284" s="18">
        <v>260000</v>
      </c>
      <c r="H284" s="18"/>
      <c r="I284" s="18">
        <v>0</v>
      </c>
      <c r="J284" s="18">
        <v>0</v>
      </c>
      <c r="K284" s="15" t="s">
        <v>28</v>
      </c>
      <c r="L284" s="16">
        <v>4</v>
      </c>
      <c r="M284" s="16">
        <v>2</v>
      </c>
      <c r="N284" s="16">
        <v>1</v>
      </c>
      <c r="O284" s="16"/>
      <c r="P284" s="16"/>
      <c r="Q284" s="19">
        <v>183</v>
      </c>
      <c r="R284" s="20">
        <v>45638</v>
      </c>
      <c r="S284" s="20">
        <v>44712</v>
      </c>
      <c r="T284" s="18"/>
      <c r="U284" s="20"/>
      <c r="V284" s="1"/>
    </row>
    <row r="285" spans="1:22" ht="24" customHeight="1">
      <c r="A285" s="1"/>
      <c r="B285" s="14" t="str">
        <f>HYPERLINK("https://www.compass.com/listing/160-10-89th-avenue-unit-15e-queens-ny-11432/841575050549653921/view?agent_id=610d3f3370540700019b0833","160-10 89th Avenue, Unit 15E")</f>
        <v>160-10 89th Avenue, Unit 15E</v>
      </c>
      <c r="C285" s="15" t="s">
        <v>54</v>
      </c>
      <c r="D285" s="16" t="s">
        <v>23</v>
      </c>
      <c r="E285" s="17" t="str">
        <f t="shared" si="36"/>
        <v>160-10 89th Ave</v>
      </c>
      <c r="F285" s="15" t="s">
        <v>24</v>
      </c>
      <c r="G285" s="18">
        <v>295000</v>
      </c>
      <c r="H285" s="18">
        <v>307</v>
      </c>
      <c r="I285" s="18">
        <v>1110</v>
      </c>
      <c r="J285" s="18"/>
      <c r="K285" s="15" t="s">
        <v>28</v>
      </c>
      <c r="L285" s="16">
        <v>3</v>
      </c>
      <c r="M285" s="16">
        <v>2</v>
      </c>
      <c r="N285" s="16">
        <v>1</v>
      </c>
      <c r="O285" s="16">
        <v>0</v>
      </c>
      <c r="P285" s="16">
        <v>960</v>
      </c>
      <c r="Q285" s="19">
        <v>203</v>
      </c>
      <c r="R285" s="20">
        <v>45636</v>
      </c>
      <c r="S285" s="20">
        <v>44274</v>
      </c>
      <c r="T285" s="18"/>
      <c r="U285" s="20"/>
      <c r="V285" s="1"/>
    </row>
    <row r="286" spans="1:22" ht="24" customHeight="1">
      <c r="A286" s="1"/>
      <c r="B286" s="14" t="str">
        <f>HYPERLINK("https://www.compass.com/listing/155-01-90th-avenue-unit-2c-queens-ny-11432/1729165746282823569/view?agent_id=610d3f3370540700019b0833","155-01 90th Avenue, Unit 2C")</f>
        <v>155-01 90th Avenue, Unit 2C</v>
      </c>
      <c r="C286" s="15" t="s">
        <v>52</v>
      </c>
      <c r="D286" s="16" t="s">
        <v>23</v>
      </c>
      <c r="E286" s="17" t="str">
        <f t="shared" ref="E286:E287" si="37">HYPERLINK("https://www.compass.com/building/155-01-90th-ave-queens-ny-11432/293533120169246997/","155-01 90th Ave")</f>
        <v>155-01 90th Ave</v>
      </c>
      <c r="F286" s="15" t="s">
        <v>24</v>
      </c>
      <c r="G286" s="18">
        <v>289777</v>
      </c>
      <c r="H286" s="18"/>
      <c r="I286" s="18">
        <v>0</v>
      </c>
      <c r="J286" s="18">
        <v>0</v>
      </c>
      <c r="K286" s="15" t="s">
        <v>28</v>
      </c>
      <c r="L286" s="16">
        <v>5</v>
      </c>
      <c r="M286" s="16">
        <v>2</v>
      </c>
      <c r="N286" s="16">
        <v>1</v>
      </c>
      <c r="O286" s="16"/>
      <c r="P286" s="16"/>
      <c r="Q286" s="19">
        <v>182</v>
      </c>
      <c r="R286" s="20">
        <v>45637</v>
      </c>
      <c r="S286" s="20">
        <v>43738</v>
      </c>
      <c r="T286" s="18"/>
      <c r="U286" s="20"/>
      <c r="V286" s="1"/>
    </row>
    <row r="287" spans="1:22" ht="24" customHeight="1">
      <c r="A287" s="1"/>
      <c r="B287" s="14" t="str">
        <f>HYPERLINK("https://www.compass.com/listing/155-01-90th-avenue-unit-2c-queens-ny-11432/498270457955658137/view?agent_id=610d3f3370540700019b0833","155-01 90th Avenue, Unit 2C")</f>
        <v>155-01 90th Avenue, Unit 2C</v>
      </c>
      <c r="C287" s="15" t="s">
        <v>52</v>
      </c>
      <c r="D287" s="16" t="s">
        <v>23</v>
      </c>
      <c r="E287" s="17" t="str">
        <f t="shared" si="37"/>
        <v>155-01 90th Ave</v>
      </c>
      <c r="F287" s="15" t="s">
        <v>24</v>
      </c>
      <c r="G287" s="18">
        <v>289777</v>
      </c>
      <c r="H287" s="18"/>
      <c r="I287" s="18">
        <v>0</v>
      </c>
      <c r="J287" s="18">
        <v>0</v>
      </c>
      <c r="K287" s="15" t="s">
        <v>28</v>
      </c>
      <c r="L287" s="16">
        <v>5</v>
      </c>
      <c r="M287" s="16">
        <v>2</v>
      </c>
      <c r="N287" s="16">
        <v>1</v>
      </c>
      <c r="O287" s="16"/>
      <c r="P287" s="16"/>
      <c r="Q287" s="19">
        <v>362</v>
      </c>
      <c r="R287" s="20">
        <v>45597</v>
      </c>
      <c r="S287" s="20">
        <v>43315</v>
      </c>
      <c r="T287" s="18"/>
      <c r="U287" s="20"/>
      <c r="V287" s="1"/>
    </row>
    <row r="288" spans="1:22" ht="24" customHeight="1">
      <c r="A288" s="1"/>
      <c r="B288" s="14" t="str">
        <f>HYPERLINK("https://www.compass.com/listing/160-10-89th-avenue-unit-15-queens-ny-11432/756451031690296897/view?agent_id=610d3f3370540700019b0833","160-10 89th Avenue, Unit 15")</f>
        <v>160-10 89th Avenue, Unit 15</v>
      </c>
      <c r="C288" s="15" t="s">
        <v>52</v>
      </c>
      <c r="D288" s="16" t="s">
        <v>23</v>
      </c>
      <c r="E288" s="17" t="str">
        <f>HYPERLINK("https://www.compass.com/building/160-10-89th-ave-queens-ny-11432/293533475963683173/","160-10 89th Ave")</f>
        <v>160-10 89th Ave</v>
      </c>
      <c r="F288" s="15" t="s">
        <v>24</v>
      </c>
      <c r="G288" s="18">
        <v>295000</v>
      </c>
      <c r="H288" s="18">
        <v>328</v>
      </c>
      <c r="I288" s="18">
        <v>1100</v>
      </c>
      <c r="J288" s="18"/>
      <c r="K288" s="15" t="s">
        <v>28</v>
      </c>
      <c r="L288" s="16">
        <v>3</v>
      </c>
      <c r="M288" s="16">
        <v>2</v>
      </c>
      <c r="N288" s="16">
        <v>1</v>
      </c>
      <c r="O288" s="16"/>
      <c r="P288" s="16">
        <v>900</v>
      </c>
      <c r="Q288" s="19">
        <v>156</v>
      </c>
      <c r="R288" s="20">
        <v>45612</v>
      </c>
      <c r="S288" s="20">
        <v>44295</v>
      </c>
      <c r="T288" s="18"/>
      <c r="U288" s="20"/>
      <c r="V288" s="1"/>
    </row>
    <row r="289" spans="1:22" ht="24" customHeight="1">
      <c r="A289" s="1"/>
      <c r="B289" s="14" t="str">
        <f>HYPERLINK("https://www.compass.com/listing/89-15-parsons-boulevard-unit-9g-queens-ny-11432/422576870336372065/view?agent_id=610d3f3370540700019b0833","89-15 Parsons Boulevard, Unit 9G")</f>
        <v>89-15 Parsons Boulevard, Unit 9G</v>
      </c>
      <c r="C289" s="15" t="s">
        <v>52</v>
      </c>
      <c r="D289" s="16" t="s">
        <v>23</v>
      </c>
      <c r="E289" s="17" t="str">
        <f t="shared" ref="E289:E290" si="38">HYPERLINK("https://www.compass.com/building/89-15-parsons-blvd-queens-ny-11432/293527323523755221/","89-15 Parsons Blvd")</f>
        <v>89-15 Parsons Blvd</v>
      </c>
      <c r="F289" s="15" t="s">
        <v>24</v>
      </c>
      <c r="G289" s="18">
        <v>239900</v>
      </c>
      <c r="H289" s="18"/>
      <c r="I289" s="18">
        <v>0</v>
      </c>
      <c r="J289" s="18">
        <v>0</v>
      </c>
      <c r="K289" s="15" t="s">
        <v>28</v>
      </c>
      <c r="L289" s="16">
        <v>5</v>
      </c>
      <c r="M289" s="16">
        <v>2</v>
      </c>
      <c r="N289" s="16">
        <v>1</v>
      </c>
      <c r="O289" s="16"/>
      <c r="P289" s="16"/>
      <c r="Q289" s="19">
        <v>333</v>
      </c>
      <c r="R289" s="20">
        <v>45637</v>
      </c>
      <c r="S289" s="20">
        <v>43834</v>
      </c>
      <c r="T289" s="18"/>
      <c r="U289" s="20"/>
      <c r="V289" s="1"/>
    </row>
    <row r="290" spans="1:22" ht="24" customHeight="1">
      <c r="A290" s="1"/>
      <c r="B290" s="14" t="str">
        <f>HYPERLINK("https://www.compass.com/listing/89-15-parsons-boulevard-queens-ny-11432/579028502706289673/view?agent_id=610d3f3370540700019b0833","89-15 Parsons Boulevard")</f>
        <v>89-15 Parsons Boulevard</v>
      </c>
      <c r="C290" s="15" t="s">
        <v>52</v>
      </c>
      <c r="D290" s="16" t="s">
        <v>23</v>
      </c>
      <c r="E290" s="17" t="str">
        <f t="shared" si="38"/>
        <v>89-15 Parsons Blvd</v>
      </c>
      <c r="F290" s="15" t="s">
        <v>24</v>
      </c>
      <c r="G290" s="18">
        <v>255000</v>
      </c>
      <c r="H290" s="18">
        <v>319</v>
      </c>
      <c r="I290" s="18">
        <v>328</v>
      </c>
      <c r="J290" s="18">
        <v>3941</v>
      </c>
      <c r="K290" s="15" t="s">
        <v>28</v>
      </c>
      <c r="L290" s="16">
        <v>5</v>
      </c>
      <c r="M290" s="16">
        <v>2</v>
      </c>
      <c r="N290" s="16">
        <v>1</v>
      </c>
      <c r="O290" s="16"/>
      <c r="P290" s="16">
        <v>800</v>
      </c>
      <c r="Q290" s="19">
        <v>75</v>
      </c>
      <c r="R290" s="20">
        <v>45597</v>
      </c>
      <c r="S290" s="20">
        <v>44049</v>
      </c>
      <c r="T290" s="18"/>
      <c r="U290" s="20"/>
      <c r="V290" s="1"/>
    </row>
    <row r="291" spans="1:22" ht="24" customHeight="1">
      <c r="A291" s="1"/>
      <c r="B291" s="14" t="str">
        <f>HYPERLINK("https://www.compass.com/listing/175-45-88th-avenue-unit-5n-queens-ny-11432/197775165558426209/view?agent_id=610d3f3370540700019b0833","175-45 88th Avenue, Unit 5N")</f>
        <v>175-45 88th Avenue, Unit 5N</v>
      </c>
      <c r="C291" s="15" t="s">
        <v>54</v>
      </c>
      <c r="D291" s="16" t="s">
        <v>23</v>
      </c>
      <c r="E291" s="17" t="str">
        <f t="shared" ref="E291:E292" si="39">HYPERLINK("https://www.compass.com/building/175-45-88th-ave-queens-ny-11432/293532280863901109/","175-45 88th Ave")</f>
        <v>175-45 88th Ave</v>
      </c>
      <c r="F291" s="15" t="s">
        <v>24</v>
      </c>
      <c r="G291" s="18">
        <v>255000</v>
      </c>
      <c r="H291" s="18">
        <v>268</v>
      </c>
      <c r="I291" s="18">
        <v>0</v>
      </c>
      <c r="J291" s="18">
        <v>0</v>
      </c>
      <c r="K291" s="15" t="s">
        <v>28</v>
      </c>
      <c r="L291" s="16">
        <v>5</v>
      </c>
      <c r="M291" s="16">
        <v>2</v>
      </c>
      <c r="N291" s="16">
        <v>1</v>
      </c>
      <c r="O291" s="16"/>
      <c r="P291" s="16">
        <v>950</v>
      </c>
      <c r="Q291" s="19">
        <v>55</v>
      </c>
      <c r="R291" s="20">
        <v>45636</v>
      </c>
      <c r="S291" s="20">
        <v>43326</v>
      </c>
      <c r="T291" s="18"/>
      <c r="U291" s="20"/>
      <c r="V291" s="1"/>
    </row>
    <row r="292" spans="1:22" ht="24" customHeight="1">
      <c r="A292" s="1"/>
      <c r="B292" s="14" t="str">
        <f>HYPERLINK("https://www.compass.com/listing/175-45-88th-avenue-unit-5n-queens-ny-11432/754561261646737633/view?agent_id=610d3f3370540700019b0833","175-45 88th Avenue, Unit 5N")</f>
        <v>175-45 88th Avenue, Unit 5N</v>
      </c>
      <c r="C292" s="15" t="s">
        <v>52</v>
      </c>
      <c r="D292" s="16" t="s">
        <v>23</v>
      </c>
      <c r="E292" s="17" t="str">
        <f t="shared" si="39"/>
        <v>175-45 88th Ave</v>
      </c>
      <c r="F292" s="15" t="s">
        <v>24</v>
      </c>
      <c r="G292" s="18">
        <v>325000</v>
      </c>
      <c r="H292" s="18"/>
      <c r="I292" s="18">
        <v>0</v>
      </c>
      <c r="J292" s="18">
        <v>0</v>
      </c>
      <c r="K292" s="15" t="s">
        <v>28</v>
      </c>
      <c r="L292" s="16">
        <v>5</v>
      </c>
      <c r="M292" s="16">
        <v>2</v>
      </c>
      <c r="N292" s="16">
        <v>1</v>
      </c>
      <c r="O292" s="16"/>
      <c r="P292" s="16"/>
      <c r="Q292" s="19">
        <v>754</v>
      </c>
      <c r="R292" s="20">
        <v>45597</v>
      </c>
      <c r="S292" s="20">
        <v>44292</v>
      </c>
      <c r="T292" s="18"/>
      <c r="U292" s="20"/>
      <c r="V292" s="1"/>
    </row>
    <row r="293" spans="1:22" ht="24" customHeight="1">
      <c r="A293" s="1"/>
      <c r="B293" s="14" t="str">
        <f>HYPERLINK("https://www.compass.com/listing/88-20-parsons-boulevard-unit-3c-queens-ny-11432/1140400587564758633/view?agent_id=610d3f3370540700019b0833","88-20 Parsons Boulevard, Unit 3C")</f>
        <v>88-20 Parsons Boulevard, Unit 3C</v>
      </c>
      <c r="C293" s="15" t="s">
        <v>52</v>
      </c>
      <c r="D293" s="16" t="s">
        <v>23</v>
      </c>
      <c r="E293" s="17" t="str">
        <f t="shared" ref="E293:E294" si="40">HYPERLINK("https://www.compass.com/building/88-20-parsons-blvd-queens-ny-11432/293417511444079413/","88-20 Parsons Blvd")</f>
        <v>88-20 Parsons Blvd</v>
      </c>
      <c r="F293" s="15" t="s">
        <v>24</v>
      </c>
      <c r="G293" s="18">
        <v>499000</v>
      </c>
      <c r="H293" s="18">
        <v>624</v>
      </c>
      <c r="I293" s="18">
        <v>369</v>
      </c>
      <c r="J293" s="18">
        <v>4429</v>
      </c>
      <c r="K293" s="15" t="s">
        <v>25</v>
      </c>
      <c r="L293" s="16">
        <v>4</v>
      </c>
      <c r="M293" s="16">
        <v>2</v>
      </c>
      <c r="N293" s="16">
        <v>1</v>
      </c>
      <c r="O293" s="16"/>
      <c r="P293" s="16">
        <v>800</v>
      </c>
      <c r="Q293" s="19">
        <v>363</v>
      </c>
      <c r="R293" s="20">
        <v>45638</v>
      </c>
      <c r="S293" s="20">
        <v>44826</v>
      </c>
      <c r="T293" s="18"/>
      <c r="U293" s="20"/>
      <c r="V293" s="1"/>
    </row>
    <row r="294" spans="1:22" ht="24" customHeight="1">
      <c r="A294" s="1"/>
      <c r="B294" s="14" t="str">
        <f>HYPERLINK("https://www.compass.com/listing/88-20-parsons-boulevard-unit-2c-queens-ny-11432/1003729199877658929/view?agent_id=610d3f3370540700019b0833","88-20 Parsons Boulevard, Unit 2C")</f>
        <v>88-20 Parsons Boulevard, Unit 2C</v>
      </c>
      <c r="C294" s="15" t="s">
        <v>52</v>
      </c>
      <c r="D294" s="16" t="s">
        <v>23</v>
      </c>
      <c r="E294" s="17" t="str">
        <f t="shared" si="40"/>
        <v>88-20 Parsons Blvd</v>
      </c>
      <c r="F294" s="15" t="s">
        <v>24</v>
      </c>
      <c r="G294" s="18">
        <v>545000</v>
      </c>
      <c r="H294" s="18">
        <v>681</v>
      </c>
      <c r="I294" s="18">
        <v>670</v>
      </c>
      <c r="J294" s="18">
        <v>2907</v>
      </c>
      <c r="K294" s="15" t="s">
        <v>25</v>
      </c>
      <c r="L294" s="16">
        <v>4</v>
      </c>
      <c r="M294" s="16">
        <v>2</v>
      </c>
      <c r="N294" s="16">
        <v>1</v>
      </c>
      <c r="O294" s="16"/>
      <c r="P294" s="16">
        <v>800</v>
      </c>
      <c r="Q294" s="19">
        <v>198</v>
      </c>
      <c r="R294" s="20">
        <v>45597</v>
      </c>
      <c r="S294" s="20">
        <v>44636</v>
      </c>
      <c r="T294" s="18"/>
      <c r="U294" s="20"/>
      <c r="V294" s="1"/>
    </row>
    <row r="295" spans="1:22" ht="24" customHeight="1">
      <c r="A295" s="1"/>
      <c r="B295" s="14" t="str">
        <f>HYPERLINK("https://www.compass.com/listing/160-10-89th-avenue-unit-15e-queens-ny-11432/197774600644403937/view?agent_id=610d3f3370540700019b0833","160-10 89th Avenue, Unit 15E")</f>
        <v>160-10 89th Avenue, Unit 15E</v>
      </c>
      <c r="C295" s="15" t="s">
        <v>52</v>
      </c>
      <c r="D295" s="16" t="s">
        <v>23</v>
      </c>
      <c r="E295" s="17" t="str">
        <f t="shared" ref="E295:E296" si="41">HYPERLINK("https://www.compass.com/building/160-10-89th-ave-queens-ny-11432/293533475963683173/","160-10 89th Ave")</f>
        <v>160-10 89th Ave</v>
      </c>
      <c r="F295" s="15" t="s">
        <v>24</v>
      </c>
      <c r="G295" s="18">
        <v>259999</v>
      </c>
      <c r="H295" s="18">
        <v>274</v>
      </c>
      <c r="I295" s="18">
        <v>0</v>
      </c>
      <c r="J295" s="18">
        <v>0</v>
      </c>
      <c r="K295" s="15" t="s">
        <v>28</v>
      </c>
      <c r="L295" s="16">
        <v>4</v>
      </c>
      <c r="M295" s="16">
        <v>2</v>
      </c>
      <c r="N295" s="16">
        <v>1</v>
      </c>
      <c r="O295" s="16"/>
      <c r="P295" s="16">
        <v>950</v>
      </c>
      <c r="Q295" s="19">
        <v>162</v>
      </c>
      <c r="R295" s="20">
        <v>45636</v>
      </c>
      <c r="S295" s="20">
        <v>43242</v>
      </c>
      <c r="T295" s="18"/>
      <c r="U295" s="20"/>
      <c r="V295" s="1"/>
    </row>
    <row r="296" spans="1:22" ht="24" customHeight="1">
      <c r="A296" s="1"/>
      <c r="B296" s="14" t="str">
        <f>HYPERLINK("https://www.compass.com/listing/160-10-89th-avenue-queens-ny-11432/1730744380492233865/view?agent_id=610d3f3370540700019b0833","160-10 89th Avenue")</f>
        <v>160-10 89th Avenue</v>
      </c>
      <c r="C296" s="15" t="s">
        <v>52</v>
      </c>
      <c r="D296" s="16" t="s">
        <v>23</v>
      </c>
      <c r="E296" s="17" t="str">
        <f t="shared" si="41"/>
        <v>160-10 89th Ave</v>
      </c>
      <c r="F296" s="15" t="s">
        <v>24</v>
      </c>
      <c r="G296" s="18">
        <v>240000</v>
      </c>
      <c r="H296" s="18"/>
      <c r="I296" s="18">
        <v>0</v>
      </c>
      <c r="J296" s="18">
        <v>0</v>
      </c>
      <c r="K296" s="15" t="s">
        <v>28</v>
      </c>
      <c r="L296" s="16">
        <v>5</v>
      </c>
      <c r="M296" s="16">
        <v>2</v>
      </c>
      <c r="N296" s="16">
        <v>1</v>
      </c>
      <c r="O296" s="16"/>
      <c r="P296" s="16"/>
      <c r="Q296" s="19">
        <v>440</v>
      </c>
      <c r="R296" s="20">
        <v>45597</v>
      </c>
      <c r="S296" s="20">
        <v>43313</v>
      </c>
      <c r="T296" s="18"/>
      <c r="U296" s="20"/>
      <c r="V296" s="1"/>
    </row>
    <row r="297" spans="1:22" ht="24" customHeight="1">
      <c r="A297" s="1"/>
      <c r="B297" s="14" t="str">
        <f>HYPERLINK("https://www.compass.com/listing/108-09-union-hall-street-queens-ny-11433/1838976893324609465/view?agent_id=610d3f3370540700019b0833","108-09 Union Hall Street")</f>
        <v>108-09 Union Hall Street</v>
      </c>
      <c r="C297" s="15" t="s">
        <v>54</v>
      </c>
      <c r="D297" s="16" t="s">
        <v>23</v>
      </c>
      <c r="E297" s="17" t="str">
        <f>HYPERLINK("https://www.compass.com/building/108-09-union-hall-st-queens-ny-11433/293535390638290293/","108-09 Union Hall St")</f>
        <v>108-09 Union Hall St</v>
      </c>
      <c r="F297" s="15" t="s">
        <v>45</v>
      </c>
      <c r="G297" s="18">
        <v>199000</v>
      </c>
      <c r="H297" s="18">
        <v>415</v>
      </c>
      <c r="I297" s="18">
        <v>0</v>
      </c>
      <c r="J297" s="18"/>
      <c r="K297" s="15" t="s">
        <v>38</v>
      </c>
      <c r="L297" s="16">
        <v>5</v>
      </c>
      <c r="M297" s="16">
        <v>2</v>
      </c>
      <c r="N297" s="16">
        <v>0</v>
      </c>
      <c r="O297" s="16">
        <v>0</v>
      </c>
      <c r="P297" s="16">
        <v>480</v>
      </c>
      <c r="Q297" s="19">
        <v>175</v>
      </c>
      <c r="R297" s="20">
        <v>45636</v>
      </c>
      <c r="S297" s="20">
        <v>42474</v>
      </c>
      <c r="T297" s="18"/>
      <c r="U297" s="20"/>
      <c r="V297" s="1"/>
    </row>
    <row r="298" spans="1:22" ht="24" customHeight="1">
      <c r="A298" s="1"/>
      <c r="B298" s="14" t="str">
        <f>HYPERLINK("https://www.compass.com/listing/108-27-160th-street-queens-ny-11433/1727017122253398289/view?agent_id=610d3f3370540700019b0833","108-27 160th Street")</f>
        <v>108-27 160th Street</v>
      </c>
      <c r="C298" s="15" t="s">
        <v>52</v>
      </c>
      <c r="D298" s="16" t="s">
        <v>23</v>
      </c>
      <c r="E298" s="16" t="s">
        <v>56</v>
      </c>
      <c r="F298" s="15" t="s">
        <v>45</v>
      </c>
      <c r="G298" s="18">
        <v>299000</v>
      </c>
      <c r="H298" s="18"/>
      <c r="I298" s="18">
        <v>68</v>
      </c>
      <c r="J298" s="18">
        <v>814</v>
      </c>
      <c r="K298" s="15" t="s">
        <v>25</v>
      </c>
      <c r="L298" s="16">
        <v>6</v>
      </c>
      <c r="M298" s="16">
        <v>2</v>
      </c>
      <c r="N298" s="16">
        <v>1</v>
      </c>
      <c r="O298" s="16"/>
      <c r="P298" s="16"/>
      <c r="Q298" s="19">
        <v>151</v>
      </c>
      <c r="R298" s="20">
        <v>45634</v>
      </c>
      <c r="S298" s="20">
        <v>42217</v>
      </c>
      <c r="T298" s="18"/>
      <c r="U298" s="20"/>
      <c r="V298" s="1"/>
    </row>
    <row r="299" spans="1:22" ht="24" customHeight="1">
      <c r="A299" s="1"/>
      <c r="B299" s="14" t="str">
        <f>HYPERLINK("https://www.compass.com/listing/108-27-160th-street-queens-ny-11433/1730621518422839937/view?agent_id=610d3f3370540700019b0833","108-27 160th Street")</f>
        <v>108-27 160th Street</v>
      </c>
      <c r="C299" s="15" t="s">
        <v>52</v>
      </c>
      <c r="D299" s="16" t="s">
        <v>23</v>
      </c>
      <c r="E299" s="16" t="s">
        <v>56</v>
      </c>
      <c r="F299" s="15" t="s">
        <v>45</v>
      </c>
      <c r="G299" s="18">
        <v>200000</v>
      </c>
      <c r="H299" s="18"/>
      <c r="I299" s="18">
        <v>68</v>
      </c>
      <c r="J299" s="18">
        <v>814</v>
      </c>
      <c r="K299" s="15" t="s">
        <v>25</v>
      </c>
      <c r="L299" s="16">
        <v>6</v>
      </c>
      <c r="M299" s="16">
        <v>2</v>
      </c>
      <c r="N299" s="16">
        <v>1</v>
      </c>
      <c r="O299" s="16"/>
      <c r="P299" s="16"/>
      <c r="Q299" s="19">
        <v>360</v>
      </c>
      <c r="R299" s="20">
        <v>45597</v>
      </c>
      <c r="S299" s="20">
        <v>41978</v>
      </c>
      <c r="T299" s="18"/>
      <c r="U299" s="20"/>
      <c r="V299" s="1"/>
    </row>
    <row r="300" spans="1:22" ht="24" customHeight="1">
      <c r="A300" s="1"/>
      <c r="B300" s="14" t="str">
        <f>HYPERLINK("https://www.compass.com/listing/107-46-union-hall-street-queens-ny-11433/1730522976496561121/view?agent_id=610d3f3370540700019b0833","107-46 Union Hall Street")</f>
        <v>107-46 Union Hall Street</v>
      </c>
      <c r="C300" s="15" t="s">
        <v>52</v>
      </c>
      <c r="D300" s="16" t="s">
        <v>23</v>
      </c>
      <c r="E300" s="17" t="str">
        <f>HYPERLINK("https://www.compass.com/building/107-46-union-hall-st-queens-ny-11433/293417544235158565/","107-46 Union Hall St")</f>
        <v>107-46 Union Hall St</v>
      </c>
      <c r="F300" s="15" t="s">
        <v>45</v>
      </c>
      <c r="G300" s="18">
        <v>299000</v>
      </c>
      <c r="H300" s="18">
        <v>51</v>
      </c>
      <c r="I300" s="18">
        <v>142</v>
      </c>
      <c r="J300" s="18">
        <v>1702</v>
      </c>
      <c r="K300" s="15" t="s">
        <v>26</v>
      </c>
      <c r="L300" s="16">
        <v>6</v>
      </c>
      <c r="M300" s="16">
        <v>2</v>
      </c>
      <c r="N300" s="16">
        <v>1</v>
      </c>
      <c r="O300" s="16"/>
      <c r="P300" s="21">
        <v>5920</v>
      </c>
      <c r="Q300" s="19">
        <v>143</v>
      </c>
      <c r="R300" s="20">
        <v>45616</v>
      </c>
      <c r="S300" s="20">
        <v>42093</v>
      </c>
      <c r="T300" s="18"/>
      <c r="U300" s="20"/>
      <c r="V300" s="1"/>
    </row>
    <row r="301" spans="1:22" ht="24" customHeight="1">
      <c r="A301" s="1"/>
      <c r="B301" s="14" t="str">
        <f>HYPERLINK("https://www.compass.com/listing/106-56-guy-r-brewer-boulevard-queens-ny-11433/718765625157028441/view?agent_id=610d3f3370540700019b0833","106-56 Guy R Brewer Boulevard")</f>
        <v>106-56 Guy R Brewer Boulevard</v>
      </c>
      <c r="C301" s="15" t="s">
        <v>52</v>
      </c>
      <c r="D301" s="16" t="s">
        <v>23</v>
      </c>
      <c r="E301" s="17" t="str">
        <f>HYPERLINK("https://www.compass.com/building/106-56-guy-r-brewer-blvd-queens-ny-11433/293532060444878005/","106-56 Guy R Brewer Blvd")</f>
        <v>106-56 Guy R Brewer Blvd</v>
      </c>
      <c r="F301" s="15" t="s">
        <v>45</v>
      </c>
      <c r="G301" s="18">
        <v>649999</v>
      </c>
      <c r="H301" s="18">
        <v>341</v>
      </c>
      <c r="I301" s="18">
        <v>536</v>
      </c>
      <c r="J301" s="18">
        <v>6431</v>
      </c>
      <c r="K301" s="15" t="s">
        <v>26</v>
      </c>
      <c r="L301" s="16">
        <v>5</v>
      </c>
      <c r="M301" s="16">
        <v>2</v>
      </c>
      <c r="N301" s="16"/>
      <c r="O301" s="16"/>
      <c r="P301" s="21">
        <v>1906</v>
      </c>
      <c r="Q301" s="19">
        <v>179</v>
      </c>
      <c r="R301" s="20">
        <v>45597</v>
      </c>
      <c r="S301" s="20">
        <v>44243</v>
      </c>
      <c r="T301" s="18"/>
      <c r="U301" s="20"/>
      <c r="V301" s="1"/>
    </row>
    <row r="302" spans="1:22" ht="24" customHeight="1">
      <c r="A302" s="1"/>
      <c r="B302" s="14" t="str">
        <f>HYPERLINK("https://www.compass.com/listing/88-30-182nd-street-unit-1j-queens-ny-11423/1019054476352992481/view?agent_id=610d3f3370540700019b0833","88-30 182nd Street, Unit 1J")</f>
        <v>88-30 182nd Street, Unit 1J</v>
      </c>
      <c r="C302" s="15" t="s">
        <v>52</v>
      </c>
      <c r="D302" s="16" t="s">
        <v>23</v>
      </c>
      <c r="E302" s="17" t="str">
        <f>HYPERLINK("https://www.compass.com/building/88-30-182nd-st-queens-ny-11423/293526129111833317/","88-30 182nd St")</f>
        <v>88-30 182nd St</v>
      </c>
      <c r="F302" s="15" t="s">
        <v>24</v>
      </c>
      <c r="G302" s="18">
        <v>325000</v>
      </c>
      <c r="H302" s="18">
        <v>325</v>
      </c>
      <c r="I302" s="18">
        <v>500</v>
      </c>
      <c r="J302" s="18"/>
      <c r="K302" s="15" t="s">
        <v>28</v>
      </c>
      <c r="L302" s="16">
        <v>4</v>
      </c>
      <c r="M302" s="16">
        <v>2</v>
      </c>
      <c r="N302" s="16">
        <v>1</v>
      </c>
      <c r="O302" s="16"/>
      <c r="P302" s="21">
        <v>1000</v>
      </c>
      <c r="Q302" s="19">
        <v>135</v>
      </c>
      <c r="R302" s="20">
        <v>45612</v>
      </c>
      <c r="S302" s="20">
        <v>44657</v>
      </c>
      <c r="T302" s="18"/>
      <c r="U302" s="20"/>
      <c r="V302" s="1"/>
    </row>
    <row r="303" spans="1:22" ht="24" customHeight="1">
      <c r="A303" s="1"/>
      <c r="B303" s="14" t="str">
        <f>HYPERLINK("https://www.compass.com/listing/148-17-linden-boulevard-queens-ny-11436/1730500647863402737/view?agent_id=610d3f3370540700019b0833","148-17 Linden Boulevard")</f>
        <v>148-17 Linden Boulevard</v>
      </c>
      <c r="C303" s="15" t="s">
        <v>52</v>
      </c>
      <c r="D303" s="16" t="s">
        <v>23</v>
      </c>
      <c r="E303" s="17" t="str">
        <f>HYPERLINK("https://www.compass.com/building/148-17-linden-blvd-queens-ny-11436/293418060822353045/","148-17 Linden Blvd")</f>
        <v>148-17 Linden Blvd</v>
      </c>
      <c r="F303" s="15" t="s">
        <v>24</v>
      </c>
      <c r="G303" s="18">
        <v>319000</v>
      </c>
      <c r="H303" s="18">
        <v>223</v>
      </c>
      <c r="I303" s="18">
        <v>141</v>
      </c>
      <c r="J303" s="18">
        <v>1693</v>
      </c>
      <c r="K303" s="15" t="s">
        <v>26</v>
      </c>
      <c r="L303" s="16">
        <v>6</v>
      </c>
      <c r="M303" s="16">
        <v>2</v>
      </c>
      <c r="N303" s="16">
        <v>1</v>
      </c>
      <c r="O303" s="16"/>
      <c r="P303" s="21">
        <v>1428</v>
      </c>
      <c r="Q303" s="19">
        <v>366</v>
      </c>
      <c r="R303" s="20">
        <v>45597</v>
      </c>
      <c r="S303" s="20">
        <v>40724</v>
      </c>
      <c r="T303" s="18"/>
      <c r="U303" s="20"/>
      <c r="V303" s="1"/>
    </row>
    <row r="304" spans="1:22" ht="24" customHeight="1">
      <c r="A304" s="1"/>
      <c r="B304" s="14" t="str">
        <f>HYPERLINK("https://www.compass.com/listing/107-37-van-wyck-expressway-queens-ny-11435/766602111579871401/view?agent_id=610d3f3370540700019b0833","107-37 Van Wyck Expy")</f>
        <v>107-37 Van Wyck Expy</v>
      </c>
      <c r="C304" s="15" t="s">
        <v>54</v>
      </c>
      <c r="D304" s="16" t="s">
        <v>23</v>
      </c>
      <c r="E304" s="17" t="str">
        <f>HYPERLINK("https://www.compass.com/building/107-37-van-wyck-expy-queens-ny-11435/293528893015527477/","107-37 Van Wyck Expy")</f>
        <v>107-37 Van Wyck Expy</v>
      </c>
      <c r="F304" s="15" t="s">
        <v>24</v>
      </c>
      <c r="G304" s="18">
        <v>1900</v>
      </c>
      <c r="H304" s="18"/>
      <c r="I304" s="18">
        <v>0</v>
      </c>
      <c r="J304" s="18">
        <v>0</v>
      </c>
      <c r="K304" s="15"/>
      <c r="L304" s="16"/>
      <c r="M304" s="16">
        <v>2</v>
      </c>
      <c r="N304" s="16">
        <v>1</v>
      </c>
      <c r="O304" s="16">
        <v>0</v>
      </c>
      <c r="P304" s="16"/>
      <c r="Q304" s="19">
        <v>504</v>
      </c>
      <c r="R304" s="20">
        <v>43869</v>
      </c>
      <c r="S304" s="20">
        <v>43365</v>
      </c>
      <c r="T304" s="18"/>
      <c r="U304" s="20"/>
      <c r="V304" s="1"/>
    </row>
    <row r="305" spans="1:22" ht="24" customHeight="1">
      <c r="A305" s="1"/>
      <c r="B305" s="14" t="str">
        <f>HYPERLINK("https://www.compass.com/listing/111-32-147th-street-queens-ny-11435/96912494148234593/view?agent_id=610d3f3370540700019b0833","111-32 147th Street")</f>
        <v>111-32 147th Street</v>
      </c>
      <c r="C305" s="15" t="s">
        <v>54</v>
      </c>
      <c r="D305" s="16" t="s">
        <v>23</v>
      </c>
      <c r="E305" s="17" t="str">
        <f>HYPERLINK("https://www.compass.com/building/111-32-147th-st-queens-ny-11435/293531768160621957/","111-32 147th St")</f>
        <v>111-32 147th St</v>
      </c>
      <c r="F305" s="15" t="s">
        <v>24</v>
      </c>
      <c r="G305" s="18">
        <v>395000</v>
      </c>
      <c r="H305" s="18">
        <v>374</v>
      </c>
      <c r="I305" s="18">
        <v>266</v>
      </c>
      <c r="J305" s="18">
        <v>3192</v>
      </c>
      <c r="K305" s="15" t="s">
        <v>30</v>
      </c>
      <c r="L305" s="16">
        <v>5</v>
      </c>
      <c r="M305" s="16">
        <v>2</v>
      </c>
      <c r="N305" s="16"/>
      <c r="O305" s="16"/>
      <c r="P305" s="21">
        <v>1056</v>
      </c>
      <c r="Q305" s="19">
        <v>44</v>
      </c>
      <c r="R305" s="20">
        <v>43602</v>
      </c>
      <c r="S305" s="20">
        <v>43385</v>
      </c>
      <c r="T305" s="18"/>
      <c r="U305" s="20"/>
      <c r="V305" s="1"/>
    </row>
    <row r="306" spans="1:22" ht="24" customHeight="1">
      <c r="A306" s="1"/>
      <c r="B306" s="14" t="str">
        <f>HYPERLINK("https://www.compass.com/listing/111-34-139th-street-queens-ny-11435/1078527600074066889/view?agent_id=610d3f3370540700019b0833","111-34 139th Street")</f>
        <v>111-34 139th Street</v>
      </c>
      <c r="C306" s="15" t="s">
        <v>54</v>
      </c>
      <c r="D306" s="16" t="s">
        <v>23</v>
      </c>
      <c r="E306" s="17" t="str">
        <f>HYPERLINK("https://www.compass.com/building/111-34-139th-st-queens-ny-11435/293528110895328037/","111-34 139th St")</f>
        <v>111-34 139th St</v>
      </c>
      <c r="F306" s="15" t="s">
        <v>24</v>
      </c>
      <c r="G306" s="18">
        <v>499999</v>
      </c>
      <c r="H306" s="18">
        <v>496</v>
      </c>
      <c r="I306" s="18">
        <v>322</v>
      </c>
      <c r="J306" s="18">
        <v>3864</v>
      </c>
      <c r="K306" s="15" t="s">
        <v>38</v>
      </c>
      <c r="L306" s="16">
        <v>5</v>
      </c>
      <c r="M306" s="16">
        <v>2</v>
      </c>
      <c r="N306" s="16">
        <v>1</v>
      </c>
      <c r="O306" s="16"/>
      <c r="P306" s="21">
        <v>1008</v>
      </c>
      <c r="Q306" s="19">
        <v>101</v>
      </c>
      <c r="R306" s="20">
        <v>44921</v>
      </c>
      <c r="S306" s="20">
        <v>44743</v>
      </c>
      <c r="T306" s="18"/>
      <c r="U306" s="20"/>
      <c r="V306" s="1"/>
    </row>
    <row r="307" spans="1:22" ht="24" customHeight="1">
      <c r="A307" s="1"/>
      <c r="B307" s="14" t="str">
        <f>HYPERLINK("https://www.compass.com/listing/111-54-145th-street-queens-ny-11435/500863632331287681/view?agent_id=610d3f3370540700019b0833","111-54 145th Street")</f>
        <v>111-54 145th Street</v>
      </c>
      <c r="C307" s="15" t="s">
        <v>52</v>
      </c>
      <c r="D307" s="16" t="s">
        <v>23</v>
      </c>
      <c r="E307" s="17" t="str">
        <f>HYPERLINK("https://www.compass.com/building/111-54-145th-st-queens-ny-11435/293532644812067669/","111-54 145th St")</f>
        <v>111-54 145th St</v>
      </c>
      <c r="F307" s="15" t="s">
        <v>24</v>
      </c>
      <c r="G307" s="18">
        <v>399999</v>
      </c>
      <c r="H307" s="18"/>
      <c r="I307" s="18">
        <v>248</v>
      </c>
      <c r="J307" s="18">
        <v>2980</v>
      </c>
      <c r="K307" s="15" t="s">
        <v>48</v>
      </c>
      <c r="L307" s="16">
        <v>6</v>
      </c>
      <c r="M307" s="16">
        <v>2</v>
      </c>
      <c r="N307" s="16">
        <v>1</v>
      </c>
      <c r="O307" s="16"/>
      <c r="P307" s="16"/>
      <c r="Q307" s="19">
        <v>239</v>
      </c>
      <c r="R307" s="20">
        <v>45636</v>
      </c>
      <c r="S307" s="20">
        <v>42908</v>
      </c>
      <c r="T307" s="18"/>
      <c r="U307" s="20"/>
      <c r="V307" s="1"/>
    </row>
    <row r="308" spans="1:22" ht="24" customHeight="1">
      <c r="A308" s="1"/>
      <c r="B308" s="14" t="str">
        <f>HYPERLINK("https://www.compass.com/listing/97-22-remington-street-queens-ny-11435/790288509624145417/view?agent_id=610d3f3370540700019b0833","97-22 Remington Street")</f>
        <v>97-22 Remington Street</v>
      </c>
      <c r="C308" s="15" t="s">
        <v>54</v>
      </c>
      <c r="D308" s="16" t="s">
        <v>23</v>
      </c>
      <c r="E308" s="17" t="str">
        <f>HYPERLINK("https://www.compass.com/building/97-22-remington-st-queens-ny-11435/293530195221124933/","97-22 Remington St")</f>
        <v>97-22 Remington St</v>
      </c>
      <c r="F308" s="15" t="s">
        <v>24</v>
      </c>
      <c r="G308" s="18">
        <v>830000</v>
      </c>
      <c r="H308" s="18">
        <v>625</v>
      </c>
      <c r="I308" s="18">
        <v>380</v>
      </c>
      <c r="J308" s="18">
        <v>4560</v>
      </c>
      <c r="K308" s="15" t="s">
        <v>57</v>
      </c>
      <c r="L308" s="16">
        <v>6</v>
      </c>
      <c r="M308" s="16">
        <v>2</v>
      </c>
      <c r="N308" s="16"/>
      <c r="O308" s="16"/>
      <c r="P308" s="21">
        <v>1328</v>
      </c>
      <c r="Q308" s="19">
        <v>150</v>
      </c>
      <c r="R308" s="20">
        <v>44480</v>
      </c>
      <c r="S308" s="20">
        <v>44329</v>
      </c>
      <c r="T308" s="18"/>
      <c r="U308" s="20"/>
      <c r="V308" s="1"/>
    </row>
    <row r="309" spans="1:22" ht="24" customHeight="1">
      <c r="A309" s="1"/>
      <c r="B309" s="14" t="str">
        <f>HYPERLINK("https://www.compass.com/listing/97-20-remington-street-queens-ny-11435/781555395857185449/view?agent_id=610d3f3370540700019b0833","97-20 Remington Street")</f>
        <v>97-20 Remington Street</v>
      </c>
      <c r="C309" s="15" t="s">
        <v>54</v>
      </c>
      <c r="D309" s="16" t="s">
        <v>23</v>
      </c>
      <c r="E309" s="17" t="str">
        <f>HYPERLINK("https://www.compass.com/building/97-20-remington-st-queens-ny-11435/293418218998003285/","97-20 Remington St")</f>
        <v>97-20 Remington St</v>
      </c>
      <c r="F309" s="15" t="s">
        <v>24</v>
      </c>
      <c r="G309" s="18">
        <v>775000</v>
      </c>
      <c r="H309" s="18">
        <v>491</v>
      </c>
      <c r="I309" s="18">
        <v>367</v>
      </c>
      <c r="J309" s="18">
        <v>4404</v>
      </c>
      <c r="K309" s="15" t="s">
        <v>30</v>
      </c>
      <c r="L309" s="16">
        <v>2</v>
      </c>
      <c r="M309" s="16">
        <v>2</v>
      </c>
      <c r="N309" s="16"/>
      <c r="O309" s="16"/>
      <c r="P309" s="21">
        <v>1578</v>
      </c>
      <c r="Q309" s="19">
        <v>150</v>
      </c>
      <c r="R309" s="20">
        <v>44480</v>
      </c>
      <c r="S309" s="20">
        <v>44329</v>
      </c>
      <c r="T309" s="18"/>
      <c r="U309" s="20"/>
      <c r="V309" s="1"/>
    </row>
    <row r="310" spans="1:22" ht="24" customHeight="1">
      <c r="A310" s="1"/>
      <c r="B310" s="14" t="str">
        <f>HYPERLINK("https://www.compass.com/listing/111-52-147th-street-queens-ny-11435/692768321955890697/view?agent_id=610d3f3370540700019b0833","111-52 147th Street")</f>
        <v>111-52 147th Street</v>
      </c>
      <c r="C310" s="15" t="s">
        <v>52</v>
      </c>
      <c r="D310" s="16" t="s">
        <v>23</v>
      </c>
      <c r="E310" s="16" t="s">
        <v>58</v>
      </c>
      <c r="F310" s="15" t="s">
        <v>24</v>
      </c>
      <c r="G310" s="18">
        <v>535000</v>
      </c>
      <c r="H310" s="18"/>
      <c r="I310" s="18">
        <v>302</v>
      </c>
      <c r="J310" s="18">
        <v>3623</v>
      </c>
      <c r="K310" s="15" t="s">
        <v>26</v>
      </c>
      <c r="L310" s="16">
        <v>5</v>
      </c>
      <c r="M310" s="16">
        <v>2</v>
      </c>
      <c r="N310" s="16">
        <v>1</v>
      </c>
      <c r="O310" s="16"/>
      <c r="P310" s="16"/>
      <c r="Q310" s="19">
        <v>108</v>
      </c>
      <c r="R310" s="20">
        <v>45597</v>
      </c>
      <c r="S310" s="20">
        <v>44207</v>
      </c>
      <c r="T310" s="18"/>
      <c r="U310" s="20"/>
      <c r="V310" s="1"/>
    </row>
    <row r="311" spans="1:22" ht="24" customHeight="1">
      <c r="A311" s="1"/>
      <c r="B311" s="14" t="str">
        <f>HYPERLINK("https://www.compass.com/listing/111-45-144th-street-queens-ny-11435/1730514784425475657/view?agent_id=610d3f3370540700019b0833","111-45 144th Street")</f>
        <v>111-45 144th Street</v>
      </c>
      <c r="C311" s="15" t="s">
        <v>52</v>
      </c>
      <c r="D311" s="16" t="s">
        <v>23</v>
      </c>
      <c r="E311" s="17" t="str">
        <f t="shared" ref="E311:E312" si="42">HYPERLINK("https://www.compass.com/building/111-45-144th-st-queens-ny-11435/293535583626680901/","111-45 144th St")</f>
        <v>111-45 144th St</v>
      </c>
      <c r="F311" s="15" t="s">
        <v>24</v>
      </c>
      <c r="G311" s="18">
        <v>160000</v>
      </c>
      <c r="H311" s="18">
        <v>173</v>
      </c>
      <c r="I311" s="18">
        <v>210</v>
      </c>
      <c r="J311" s="18">
        <v>2523</v>
      </c>
      <c r="K311" s="15" t="s">
        <v>26</v>
      </c>
      <c r="L311" s="16">
        <v>5</v>
      </c>
      <c r="M311" s="16">
        <v>2</v>
      </c>
      <c r="N311" s="16">
        <v>1</v>
      </c>
      <c r="O311" s="16"/>
      <c r="P311" s="16">
        <v>924</v>
      </c>
      <c r="Q311" s="19">
        <v>365</v>
      </c>
      <c r="R311" s="20">
        <v>45616</v>
      </c>
      <c r="S311" s="20">
        <v>42048</v>
      </c>
      <c r="T311" s="18"/>
      <c r="U311" s="20"/>
      <c r="V311" s="1"/>
    </row>
    <row r="312" spans="1:22" ht="24" customHeight="1">
      <c r="A312" s="1"/>
      <c r="B312" s="14" t="str">
        <f>HYPERLINK("https://www.compass.com/listing/111-45-144th-street-queens-ny-11435/500849538060651745/view?agent_id=610d3f3370540700019b0833","111-45 144th Street")</f>
        <v>111-45 144th Street</v>
      </c>
      <c r="C312" s="15" t="s">
        <v>52</v>
      </c>
      <c r="D312" s="16" t="s">
        <v>23</v>
      </c>
      <c r="E312" s="17" t="str">
        <f t="shared" si="42"/>
        <v>111-45 144th St</v>
      </c>
      <c r="F312" s="15" t="s">
        <v>24</v>
      </c>
      <c r="G312" s="18">
        <v>160000</v>
      </c>
      <c r="H312" s="18">
        <v>115</v>
      </c>
      <c r="I312" s="18">
        <v>232</v>
      </c>
      <c r="J312" s="18">
        <v>2781</v>
      </c>
      <c r="K312" s="15" t="s">
        <v>26</v>
      </c>
      <c r="L312" s="16">
        <v>4</v>
      </c>
      <c r="M312" s="16">
        <v>2</v>
      </c>
      <c r="N312" s="16">
        <v>1</v>
      </c>
      <c r="O312" s="16"/>
      <c r="P312" s="21">
        <v>1386</v>
      </c>
      <c r="Q312" s="19">
        <v>365</v>
      </c>
      <c r="R312" s="20">
        <v>45634</v>
      </c>
      <c r="S312" s="20">
        <v>42432</v>
      </c>
      <c r="T312" s="18"/>
      <c r="U312" s="20"/>
      <c r="V312" s="1"/>
    </row>
    <row r="313" spans="1:22" ht="24" customHeight="1">
      <c r="A313" s="1"/>
      <c r="B313" s="14" t="str">
        <f>HYPERLINK("https://www.compass.com/listing/139-17-glassboro-avenue-queens-ny-11435/1730622153029089273/view?agent_id=610d3f3370540700019b0833","139-17 Glassboro Avenue")</f>
        <v>139-17 Glassboro Avenue</v>
      </c>
      <c r="C313" s="15" t="s">
        <v>52</v>
      </c>
      <c r="D313" s="16" t="s">
        <v>23</v>
      </c>
      <c r="E313" s="17" t="str">
        <f>HYPERLINK("https://www.compass.com/building/139-17-glassboro-ave-queens-ny-11435/293531198305719637/","139-17 Glassboro Ave")</f>
        <v>139-17 Glassboro Ave</v>
      </c>
      <c r="F313" s="15" t="s">
        <v>24</v>
      </c>
      <c r="G313" s="18">
        <v>159000</v>
      </c>
      <c r="H313" s="18">
        <v>180</v>
      </c>
      <c r="I313" s="18">
        <v>161</v>
      </c>
      <c r="J313" s="18">
        <v>1935</v>
      </c>
      <c r="K313" s="15" t="s">
        <v>26</v>
      </c>
      <c r="L313" s="16">
        <v>8</v>
      </c>
      <c r="M313" s="16">
        <v>2</v>
      </c>
      <c r="N313" s="16">
        <v>1</v>
      </c>
      <c r="O313" s="16"/>
      <c r="P313" s="16">
        <v>882</v>
      </c>
      <c r="Q313" s="19">
        <v>366</v>
      </c>
      <c r="R313" s="20">
        <v>45616</v>
      </c>
      <c r="S313" s="20">
        <v>42139</v>
      </c>
      <c r="T313" s="18"/>
      <c r="U313" s="20"/>
      <c r="V313" s="1"/>
    </row>
    <row r="314" spans="1:22" ht="24" customHeight="1">
      <c r="A314" s="1"/>
      <c r="B314" s="14" t="str">
        <f>HYPERLINK("https://www.compass.com/listing/145-48-brinkerhoff-avenue-queens-ny-11435/1730720739549225945/view?agent_id=610d3f3370540700019b0833","145-48 Brinkerhoff Avenue")</f>
        <v>145-48 Brinkerhoff Avenue</v>
      </c>
      <c r="C314" s="15" t="s">
        <v>52</v>
      </c>
      <c r="D314" s="16" t="s">
        <v>23</v>
      </c>
      <c r="E314" s="17" t="str">
        <f>HYPERLINK("https://www.compass.com/building/145-48-brinkerhoff-ave-queens-ny-11435/293532917408250053/","145-48 Brinkerhoff Ave")</f>
        <v>145-48 Brinkerhoff Ave</v>
      </c>
      <c r="F314" s="15" t="s">
        <v>24</v>
      </c>
      <c r="G314" s="18">
        <v>117000</v>
      </c>
      <c r="H314" s="18">
        <v>87</v>
      </c>
      <c r="I314" s="18">
        <v>206</v>
      </c>
      <c r="J314" s="18">
        <v>2469</v>
      </c>
      <c r="K314" s="15" t="s">
        <v>26</v>
      </c>
      <c r="L314" s="16">
        <v>5</v>
      </c>
      <c r="M314" s="16">
        <v>2</v>
      </c>
      <c r="N314" s="16">
        <v>1</v>
      </c>
      <c r="O314" s="16"/>
      <c r="P314" s="21">
        <v>1351</v>
      </c>
      <c r="Q314" s="19">
        <v>14</v>
      </c>
      <c r="R314" s="20">
        <v>45597</v>
      </c>
      <c r="S314" s="20">
        <v>41508</v>
      </c>
      <c r="T314" s="18"/>
      <c r="U314" s="20"/>
      <c r="V314" s="1"/>
    </row>
    <row r="315" spans="1:22" ht="24" customHeight="1">
      <c r="A315" s="1"/>
      <c r="B315" s="14" t="str">
        <f>HYPERLINK("https://www.compass.com/listing/139-13-glassboro-avenue-queens-ny-11435/197773500696560833/view?agent_id=610d3f3370540700019b0833","139-13 Glassboro Avenue")</f>
        <v>139-13 Glassboro Avenue</v>
      </c>
      <c r="C315" s="15" t="s">
        <v>52</v>
      </c>
      <c r="D315" s="16" t="s">
        <v>23</v>
      </c>
      <c r="E315" s="17" t="str">
        <f>HYPERLINK("https://www.compass.com/building/139-13-glassboro-ave-queens-ny-11435/293529555480706101/","139-13 Glassboro Ave")</f>
        <v>139-13 Glassboro Ave</v>
      </c>
      <c r="F315" s="15" t="s">
        <v>24</v>
      </c>
      <c r="G315" s="18">
        <v>125000</v>
      </c>
      <c r="H315" s="18">
        <v>142</v>
      </c>
      <c r="I315" s="18">
        <v>56</v>
      </c>
      <c r="J315" s="18">
        <v>671</v>
      </c>
      <c r="K315" s="15" t="s">
        <v>26</v>
      </c>
      <c r="L315" s="16">
        <v>5</v>
      </c>
      <c r="M315" s="16">
        <v>2</v>
      </c>
      <c r="N315" s="16">
        <v>1</v>
      </c>
      <c r="O315" s="16"/>
      <c r="P315" s="16">
        <v>882</v>
      </c>
      <c r="Q315" s="19">
        <v>2</v>
      </c>
      <c r="R315" s="20">
        <v>45597</v>
      </c>
      <c r="S315" s="20">
        <v>43174</v>
      </c>
      <c r="T315" s="18"/>
      <c r="U315" s="20"/>
      <c r="V315" s="1"/>
    </row>
    <row r="316" spans="1:22" ht="24" customHeight="1">
      <c r="A316" s="1"/>
      <c r="B316" s="14" t="str">
        <f>HYPERLINK("https://www.compass.com/listing/111-59-144th-street-queens-ny-11435/1730519394309613465/view?agent_id=610d3f3370540700019b0833","111-59 144th Street")</f>
        <v>111-59 144th Street</v>
      </c>
      <c r="C316" s="15" t="s">
        <v>52</v>
      </c>
      <c r="D316" s="16" t="s">
        <v>23</v>
      </c>
      <c r="E316" s="17" t="str">
        <f>HYPERLINK("https://www.compass.com/building/111-59-144th-st-queens-ny-11435/293530413333285189/","111-59 144th St")</f>
        <v>111-59 144th St</v>
      </c>
      <c r="F316" s="15" t="s">
        <v>24</v>
      </c>
      <c r="G316" s="18">
        <v>185000</v>
      </c>
      <c r="H316" s="18">
        <v>200</v>
      </c>
      <c r="I316" s="18">
        <v>191</v>
      </c>
      <c r="J316" s="18">
        <v>2296</v>
      </c>
      <c r="K316" s="15" t="s">
        <v>26</v>
      </c>
      <c r="L316" s="16">
        <v>5</v>
      </c>
      <c r="M316" s="16">
        <v>2</v>
      </c>
      <c r="N316" s="16">
        <v>1</v>
      </c>
      <c r="O316" s="16"/>
      <c r="P316" s="16">
        <v>924</v>
      </c>
      <c r="Q316" s="19">
        <v>81</v>
      </c>
      <c r="R316" s="20">
        <v>45597</v>
      </c>
      <c r="S316" s="20">
        <v>40990</v>
      </c>
      <c r="T316" s="18"/>
      <c r="U316" s="20"/>
      <c r="V316" s="1"/>
    </row>
    <row r="317" spans="1:22" ht="24" customHeight="1">
      <c r="A317" s="1"/>
      <c r="B317" s="14" t="str">
        <f>HYPERLINK("https://www.compass.com/listing/107-14-princeton-street-queens-ny-11435/1730521271168486265/view?agent_id=610d3f3370540700019b0833","107-14 Princeton Street")</f>
        <v>107-14 Princeton Street</v>
      </c>
      <c r="C317" s="15" t="s">
        <v>52</v>
      </c>
      <c r="D317" s="16" t="s">
        <v>23</v>
      </c>
      <c r="E317" s="17" t="str">
        <f>HYPERLINK("https://www.compass.com/building/107-14-princeton-st-queens-ny-11435/293532471402818677/","107-14 Princeton St")</f>
        <v>107-14 Princeton St</v>
      </c>
      <c r="F317" s="15" t="s">
        <v>24</v>
      </c>
      <c r="G317" s="18">
        <v>179000</v>
      </c>
      <c r="H317" s="18">
        <v>136</v>
      </c>
      <c r="I317" s="18">
        <v>208</v>
      </c>
      <c r="J317" s="18">
        <v>2500</v>
      </c>
      <c r="K317" s="15" t="s">
        <v>26</v>
      </c>
      <c r="L317" s="16">
        <v>4</v>
      </c>
      <c r="M317" s="16">
        <v>2</v>
      </c>
      <c r="N317" s="16">
        <v>1</v>
      </c>
      <c r="O317" s="16"/>
      <c r="P317" s="21">
        <v>1316</v>
      </c>
      <c r="Q317" s="19">
        <v>1</v>
      </c>
      <c r="R317" s="20">
        <v>45597</v>
      </c>
      <c r="S317" s="20">
        <v>41554</v>
      </c>
      <c r="T317" s="18"/>
      <c r="U317" s="20"/>
      <c r="V317" s="1"/>
    </row>
    <row r="318" spans="1:22" ht="24" customHeight="1">
      <c r="A318" s="1"/>
      <c r="B318" s="14" t="str">
        <f>HYPERLINK("https://www.compass.com/listing/111-49-144th-street-queens-ny-11435/1730527004949795937/view?agent_id=610d3f3370540700019b0833","111-49 144th Street")</f>
        <v>111-49 144th Street</v>
      </c>
      <c r="C318" s="15" t="s">
        <v>52</v>
      </c>
      <c r="D318" s="16" t="s">
        <v>23</v>
      </c>
      <c r="E318" s="17" t="str">
        <f>HYPERLINK("https://www.compass.com/building/111-49-144th-st-queens-ny-11435/293527231802677045/","111-49 144th St")</f>
        <v>111-49 144th St</v>
      </c>
      <c r="F318" s="15" t="s">
        <v>24</v>
      </c>
      <c r="G318" s="18">
        <v>189900</v>
      </c>
      <c r="H318" s="18">
        <v>206</v>
      </c>
      <c r="I318" s="18">
        <v>237</v>
      </c>
      <c r="J318" s="18">
        <v>2842</v>
      </c>
      <c r="K318" s="15" t="s">
        <v>59</v>
      </c>
      <c r="L318" s="16">
        <v>5</v>
      </c>
      <c r="M318" s="16">
        <v>2</v>
      </c>
      <c r="N318" s="16">
        <v>1</v>
      </c>
      <c r="O318" s="16"/>
      <c r="P318" s="16">
        <v>924</v>
      </c>
      <c r="Q318" s="19">
        <v>40</v>
      </c>
      <c r="R318" s="20">
        <v>45597</v>
      </c>
      <c r="S318" s="20">
        <v>41703</v>
      </c>
      <c r="T318" s="18"/>
      <c r="U318" s="20"/>
      <c r="V318" s="1"/>
    </row>
    <row r="319" spans="1:22" ht="24" customHeight="1">
      <c r="A319" s="1"/>
      <c r="B319" s="14" t="str">
        <f>HYPERLINK("https://www.compass.com/listing/111-30-147th-street-queens-ny-11435/197770222420159345/view?agent_id=610d3f3370540700019b0833","111-30 147th Street")</f>
        <v>111-30 147th Street</v>
      </c>
      <c r="C319" s="15" t="s">
        <v>52</v>
      </c>
      <c r="D319" s="16" t="s">
        <v>23</v>
      </c>
      <c r="E319" s="16" t="s">
        <v>60</v>
      </c>
      <c r="F319" s="15" t="s">
        <v>24</v>
      </c>
      <c r="G319" s="18">
        <v>409000</v>
      </c>
      <c r="H319" s="18"/>
      <c r="I319" s="18">
        <v>272</v>
      </c>
      <c r="J319" s="18">
        <v>3266</v>
      </c>
      <c r="K319" s="15" t="s">
        <v>26</v>
      </c>
      <c r="L319" s="16">
        <v>4</v>
      </c>
      <c r="M319" s="16">
        <v>2</v>
      </c>
      <c r="N319" s="16">
        <v>1</v>
      </c>
      <c r="O319" s="16"/>
      <c r="P319" s="16"/>
      <c r="Q319" s="19">
        <v>182</v>
      </c>
      <c r="R319" s="20">
        <v>45597</v>
      </c>
      <c r="S319" s="20">
        <v>43252</v>
      </c>
      <c r="T319" s="18"/>
      <c r="U319" s="20"/>
      <c r="V319" s="1"/>
    </row>
    <row r="320" spans="1:22" ht="24" customHeight="1">
      <c r="A320" s="1"/>
      <c r="B320" s="14" t="str">
        <f>HYPERLINK("https://www.compass.com/listing/107-47-139th-street-queens-ny-11435/1730728737642388097/view?agent_id=610d3f3370540700019b0833","107-47 139th Street")</f>
        <v>107-47 139th Street</v>
      </c>
      <c r="C320" s="15" t="s">
        <v>52</v>
      </c>
      <c r="D320" s="16" t="s">
        <v>23</v>
      </c>
      <c r="E320" s="17" t="str">
        <f>HYPERLINK("https://www.compass.com/building/107-47-139th-st-queens-ny-11435/293535171284624133/","107-47 139th St")</f>
        <v>107-47 139th St</v>
      </c>
      <c r="F320" s="15" t="s">
        <v>24</v>
      </c>
      <c r="G320" s="18">
        <v>249985</v>
      </c>
      <c r="H320" s="18">
        <v>1428</v>
      </c>
      <c r="I320" s="18">
        <v>166</v>
      </c>
      <c r="J320" s="18">
        <v>1994</v>
      </c>
      <c r="K320" s="15" t="s">
        <v>26</v>
      </c>
      <c r="L320" s="16">
        <v>6</v>
      </c>
      <c r="M320" s="16">
        <v>2</v>
      </c>
      <c r="N320" s="16">
        <v>1</v>
      </c>
      <c r="O320" s="16"/>
      <c r="P320" s="16">
        <v>175</v>
      </c>
      <c r="Q320" s="19">
        <v>199</v>
      </c>
      <c r="R320" s="20">
        <v>45612</v>
      </c>
      <c r="S320" s="20">
        <v>40921</v>
      </c>
      <c r="T320" s="18"/>
      <c r="U320" s="20"/>
      <c r="V320" s="1"/>
    </row>
    <row r="321" spans="1:22" ht="24" customHeight="1">
      <c r="A321" s="1"/>
      <c r="B321" s="14" t="str">
        <f>HYPERLINK("https://www.compass.com/listing/111-45-liverpool-street-queens-ny-11435/1730618474725521721/view?agent_id=610d3f3370540700019b0833","111-45 Liverpool Street")</f>
        <v>111-45 Liverpool Street</v>
      </c>
      <c r="C321" s="15" t="s">
        <v>52</v>
      </c>
      <c r="D321" s="16" t="s">
        <v>23</v>
      </c>
      <c r="E321" s="16" t="s">
        <v>61</v>
      </c>
      <c r="F321" s="15" t="s">
        <v>24</v>
      </c>
      <c r="G321" s="18">
        <v>199000</v>
      </c>
      <c r="H321" s="18"/>
      <c r="I321" s="18">
        <v>150</v>
      </c>
      <c r="J321" s="18">
        <v>1795</v>
      </c>
      <c r="K321" s="15" t="s">
        <v>26</v>
      </c>
      <c r="L321" s="16">
        <v>4</v>
      </c>
      <c r="M321" s="16">
        <v>2</v>
      </c>
      <c r="N321" s="16">
        <v>1</v>
      </c>
      <c r="O321" s="16"/>
      <c r="P321" s="16"/>
      <c r="Q321" s="19">
        <v>365</v>
      </c>
      <c r="R321" s="20">
        <v>45597</v>
      </c>
      <c r="S321" s="20">
        <v>41186</v>
      </c>
      <c r="T321" s="18"/>
      <c r="U321" s="20"/>
      <c r="V321" s="1"/>
    </row>
    <row r="322" spans="1:22" ht="24" customHeight="1">
      <c r="A322" s="1"/>
      <c r="B322" s="14" t="str">
        <f>HYPERLINK("https://www.compass.com/listing/107-47-139th-street-queens-ny-11435/1730618519310781889/view?agent_id=610d3f3370540700019b0833","107-47 139th Street")</f>
        <v>107-47 139th Street</v>
      </c>
      <c r="C322" s="15" t="s">
        <v>52</v>
      </c>
      <c r="D322" s="16" t="s">
        <v>23</v>
      </c>
      <c r="E322" s="17" t="str">
        <f>HYPERLINK("https://www.compass.com/building/107-47-139th-st-queens-ny-11435/293535171284624133/","107-47 139th St")</f>
        <v>107-47 139th St</v>
      </c>
      <c r="F322" s="15" t="s">
        <v>24</v>
      </c>
      <c r="G322" s="18">
        <v>250000</v>
      </c>
      <c r="H322" s="18">
        <v>1429</v>
      </c>
      <c r="I322" s="18">
        <v>166</v>
      </c>
      <c r="J322" s="18">
        <v>1994</v>
      </c>
      <c r="K322" s="15" t="s">
        <v>26</v>
      </c>
      <c r="L322" s="16">
        <v>6</v>
      </c>
      <c r="M322" s="16">
        <v>2</v>
      </c>
      <c r="N322" s="16">
        <v>1</v>
      </c>
      <c r="O322" s="16"/>
      <c r="P322" s="16">
        <v>175</v>
      </c>
      <c r="Q322" s="19">
        <v>389</v>
      </c>
      <c r="R322" s="20">
        <v>45597</v>
      </c>
      <c r="S322" s="20">
        <v>40920</v>
      </c>
      <c r="T322" s="18"/>
      <c r="U322" s="20"/>
      <c r="V322" s="1"/>
    </row>
    <row r="323" spans="1:22" ht="24" customHeight="1">
      <c r="A323" s="1"/>
      <c r="B323" s="14" t="str">
        <f>HYPERLINK("https://www.compass.com/listing/111-45-liverpool-street-queens-ny-11435/1730625149683515153/view?agent_id=610d3f3370540700019b0833","111-45 Liverpool Street")</f>
        <v>111-45 Liverpool Street</v>
      </c>
      <c r="C323" s="15" t="s">
        <v>52</v>
      </c>
      <c r="D323" s="16" t="s">
        <v>23</v>
      </c>
      <c r="E323" s="16" t="s">
        <v>61</v>
      </c>
      <c r="F323" s="15" t="s">
        <v>24</v>
      </c>
      <c r="G323" s="18">
        <v>199000</v>
      </c>
      <c r="H323" s="18"/>
      <c r="I323" s="18">
        <v>150</v>
      </c>
      <c r="J323" s="18">
        <v>1795</v>
      </c>
      <c r="K323" s="15" t="s">
        <v>26</v>
      </c>
      <c r="L323" s="16">
        <v>5</v>
      </c>
      <c r="M323" s="16">
        <v>2</v>
      </c>
      <c r="N323" s="16">
        <v>1</v>
      </c>
      <c r="O323" s="16"/>
      <c r="P323" s="16"/>
      <c r="Q323" s="19">
        <v>368</v>
      </c>
      <c r="R323" s="20">
        <v>45597</v>
      </c>
      <c r="S323" s="20">
        <v>41149</v>
      </c>
      <c r="T323" s="18"/>
      <c r="U323" s="20"/>
      <c r="V323" s="1"/>
    </row>
    <row r="324" spans="1:22" ht="24" customHeight="1">
      <c r="A324" s="1"/>
      <c r="B324" s="14" t="str">
        <f>HYPERLINK("https://www.compass.com/listing/91-18-139th-street-queens-ny-11435/1730720454604980161/view?agent_id=610d3f3370540700019b0833","91-18 139th Street")</f>
        <v>91-18 139th Street</v>
      </c>
      <c r="C324" s="15" t="s">
        <v>52</v>
      </c>
      <c r="D324" s="16" t="s">
        <v>23</v>
      </c>
      <c r="E324" s="17" t="str">
        <f>HYPERLINK("https://www.compass.com/building/91-18-139th-st-queens-ny-11435/293528376168267397/","91-18 139th St")</f>
        <v>91-18 139th St</v>
      </c>
      <c r="F324" s="15" t="s">
        <v>24</v>
      </c>
      <c r="G324" s="18">
        <v>219000</v>
      </c>
      <c r="H324" s="18">
        <v>174</v>
      </c>
      <c r="I324" s="18">
        <v>211</v>
      </c>
      <c r="J324" s="18">
        <v>2532</v>
      </c>
      <c r="K324" s="15" t="s">
        <v>26</v>
      </c>
      <c r="L324" s="16">
        <v>6</v>
      </c>
      <c r="M324" s="16">
        <v>2</v>
      </c>
      <c r="N324" s="16">
        <v>1</v>
      </c>
      <c r="O324" s="16"/>
      <c r="P324" s="21">
        <v>1262</v>
      </c>
      <c r="Q324" s="19">
        <v>149</v>
      </c>
      <c r="R324" s="20">
        <v>45597</v>
      </c>
      <c r="S324" s="20">
        <v>41232</v>
      </c>
      <c r="T324" s="18"/>
      <c r="U324" s="20"/>
      <c r="V324" s="1"/>
    </row>
    <row r="325" spans="1:22" ht="24" customHeight="1">
      <c r="A325" s="1"/>
      <c r="B325" s="14" t="str">
        <f>HYPERLINK("https://www.compass.com/listing/111-36-145th-street-queens-ny-11435/1726884588487503457/view?agent_id=610d3f3370540700019b0833","111-36 145th Street")</f>
        <v>111-36 145th Street</v>
      </c>
      <c r="C325" s="15" t="s">
        <v>52</v>
      </c>
      <c r="D325" s="16" t="s">
        <v>23</v>
      </c>
      <c r="E325" s="17" t="str">
        <f>HYPERLINK("https://www.compass.com/building/111-36-145th-st-queens-ny-11435/293531296955663029/","111-36 145th St")</f>
        <v>111-36 145th St</v>
      </c>
      <c r="F325" s="15" t="s">
        <v>24</v>
      </c>
      <c r="G325" s="18">
        <v>299000</v>
      </c>
      <c r="H325" s="18">
        <v>381</v>
      </c>
      <c r="I325" s="18">
        <v>148</v>
      </c>
      <c r="J325" s="18">
        <v>1771</v>
      </c>
      <c r="K325" s="15" t="s">
        <v>26</v>
      </c>
      <c r="L325" s="16">
        <v>4</v>
      </c>
      <c r="M325" s="16">
        <v>2</v>
      </c>
      <c r="N325" s="16">
        <v>1</v>
      </c>
      <c r="O325" s="16"/>
      <c r="P325" s="16">
        <v>784</v>
      </c>
      <c r="Q325" s="19">
        <v>364</v>
      </c>
      <c r="R325" s="20">
        <v>45634</v>
      </c>
      <c r="S325" s="20">
        <v>41969</v>
      </c>
      <c r="T325" s="18"/>
      <c r="U325" s="20"/>
      <c r="V325" s="1"/>
    </row>
    <row r="326" spans="1:22" ht="24" customHeight="1">
      <c r="A326" s="1"/>
      <c r="B326" s="14" t="str">
        <f>HYPERLINK("https://www.compass.com/listing/139-19-glassboro-avenue-queens-ny-11435/1730513678185982769/view?agent_id=610d3f3370540700019b0833","139-19 Glassboro Avenue")</f>
        <v>139-19 Glassboro Avenue</v>
      </c>
      <c r="C326" s="15" t="s">
        <v>52</v>
      </c>
      <c r="D326" s="16" t="s">
        <v>23</v>
      </c>
      <c r="E326" s="17" t="str">
        <f>HYPERLINK("https://www.compass.com/building/139-19-glassboro-ave-queens-ny-11435/293527834297647909/","139-19 Glassboro Ave")</f>
        <v>139-19 Glassboro Ave</v>
      </c>
      <c r="F326" s="15" t="s">
        <v>24</v>
      </c>
      <c r="G326" s="18">
        <v>260000</v>
      </c>
      <c r="H326" s="18">
        <v>295</v>
      </c>
      <c r="I326" s="18">
        <v>111</v>
      </c>
      <c r="J326" s="18">
        <v>1329</v>
      </c>
      <c r="K326" s="15" t="s">
        <v>26</v>
      </c>
      <c r="L326" s="16">
        <v>6</v>
      </c>
      <c r="M326" s="16">
        <v>2</v>
      </c>
      <c r="N326" s="16">
        <v>1</v>
      </c>
      <c r="O326" s="16"/>
      <c r="P326" s="16">
        <v>882</v>
      </c>
      <c r="Q326" s="19">
        <v>392</v>
      </c>
      <c r="R326" s="20">
        <v>45597</v>
      </c>
      <c r="S326" s="20">
        <v>41063</v>
      </c>
      <c r="T326" s="18"/>
      <c r="U326" s="20"/>
      <c r="V326" s="1"/>
    </row>
    <row r="327" spans="1:22" ht="24" customHeight="1">
      <c r="A327" s="1"/>
      <c r="B327" s="14" t="str">
        <f>HYPERLINK("https://www.compass.com/listing/139-08-glassboro-avenue-queens-ny-11435/500864255246383697/view?agent_id=610d3f3370540700019b0833","139-08 Glassboro Avenue")</f>
        <v>139-08 Glassboro Avenue</v>
      </c>
      <c r="C327" s="15" t="s">
        <v>52</v>
      </c>
      <c r="D327" s="16" t="s">
        <v>23</v>
      </c>
      <c r="E327" s="17" t="str">
        <f>HYPERLINK("https://www.compass.com/building/139-08-glassboro-ave-queens-ny-11435/293417506394135717/","139-08 Glassboro Ave")</f>
        <v>139-08 Glassboro Ave</v>
      </c>
      <c r="F327" s="15" t="s">
        <v>24</v>
      </c>
      <c r="G327" s="18">
        <v>480000</v>
      </c>
      <c r="H327" s="18">
        <v>536</v>
      </c>
      <c r="I327" s="18">
        <v>200</v>
      </c>
      <c r="J327" s="18">
        <v>2397</v>
      </c>
      <c r="K327" s="15" t="s">
        <v>26</v>
      </c>
      <c r="L327" s="16">
        <v>8</v>
      </c>
      <c r="M327" s="16">
        <v>2</v>
      </c>
      <c r="N327" s="16">
        <v>1</v>
      </c>
      <c r="O327" s="16"/>
      <c r="P327" s="16">
        <v>896</v>
      </c>
      <c r="Q327" s="19">
        <v>80</v>
      </c>
      <c r="R327" s="20">
        <v>45636</v>
      </c>
      <c r="S327" s="20">
        <v>43004</v>
      </c>
      <c r="T327" s="18"/>
      <c r="U327" s="20"/>
      <c r="V327" s="1"/>
    </row>
    <row r="328" spans="1:22" ht="24" customHeight="1">
      <c r="A328" s="1"/>
      <c r="B328" s="14" t="str">
        <f>HYPERLINK("https://www.compass.com/listing/111-54-145th-street-queens-ny-11435/344992218763758049/view?agent_id=610d3f3370540700019b0833","111-54 145th Street")</f>
        <v>111-54 145th Street</v>
      </c>
      <c r="C328" s="15" t="s">
        <v>52</v>
      </c>
      <c r="D328" s="16" t="s">
        <v>23</v>
      </c>
      <c r="E328" s="17" t="str">
        <f t="shared" ref="E328:E330" si="43">HYPERLINK("https://www.compass.com/building/111-54-145th-st-queens-ny-11435/293532644812067669/","111-54 145th St")</f>
        <v>111-54 145th St</v>
      </c>
      <c r="F328" s="15" t="s">
        <v>24</v>
      </c>
      <c r="G328" s="18">
        <v>399000</v>
      </c>
      <c r="H328" s="18">
        <v>509</v>
      </c>
      <c r="I328" s="18">
        <v>255</v>
      </c>
      <c r="J328" s="18">
        <v>3065</v>
      </c>
      <c r="K328" s="15" t="s">
        <v>26</v>
      </c>
      <c r="L328" s="16">
        <v>4</v>
      </c>
      <c r="M328" s="16">
        <v>2</v>
      </c>
      <c r="N328" s="16">
        <v>1</v>
      </c>
      <c r="O328" s="16"/>
      <c r="P328" s="16">
        <v>784</v>
      </c>
      <c r="Q328" s="19">
        <v>161</v>
      </c>
      <c r="R328" s="20">
        <v>45637</v>
      </c>
      <c r="S328" s="20">
        <v>43727</v>
      </c>
      <c r="T328" s="18"/>
      <c r="U328" s="20"/>
      <c r="V328" s="1"/>
    </row>
    <row r="329" spans="1:22" ht="24" customHeight="1">
      <c r="A329" s="1"/>
      <c r="B329" s="14" t="str">
        <f>HYPERLINK("https://www.compass.com/listing/111-54-145th-street-queens-ny-11435/197769232665147681/view?agent_id=610d3f3370540700019b0833","111-54 145th Street")</f>
        <v>111-54 145th Street</v>
      </c>
      <c r="C329" s="15" t="s">
        <v>52</v>
      </c>
      <c r="D329" s="16" t="s">
        <v>23</v>
      </c>
      <c r="E329" s="17" t="str">
        <f t="shared" si="43"/>
        <v>111-54 145th St</v>
      </c>
      <c r="F329" s="15" t="s">
        <v>24</v>
      </c>
      <c r="G329" s="18">
        <v>399000</v>
      </c>
      <c r="H329" s="18">
        <v>509</v>
      </c>
      <c r="I329" s="18">
        <v>109</v>
      </c>
      <c r="J329" s="18">
        <v>1313</v>
      </c>
      <c r="K329" s="15" t="s">
        <v>26</v>
      </c>
      <c r="L329" s="16">
        <v>5</v>
      </c>
      <c r="M329" s="16">
        <v>2</v>
      </c>
      <c r="N329" s="16">
        <v>1</v>
      </c>
      <c r="O329" s="16"/>
      <c r="P329" s="16">
        <v>784</v>
      </c>
      <c r="Q329" s="19">
        <v>83</v>
      </c>
      <c r="R329" s="20">
        <v>45636</v>
      </c>
      <c r="S329" s="20">
        <v>43302</v>
      </c>
      <c r="T329" s="18"/>
      <c r="U329" s="20"/>
      <c r="V329" s="1"/>
    </row>
    <row r="330" spans="1:22" ht="24" customHeight="1">
      <c r="A330" s="1"/>
      <c r="B330" s="14" t="str">
        <f>HYPERLINK("https://www.compass.com/listing/111-54-145th-street-queens-ny-11435/197770912785810225/view?agent_id=610d3f3370540700019b0833","111-54 145th Street")</f>
        <v>111-54 145th Street</v>
      </c>
      <c r="C330" s="15" t="s">
        <v>52</v>
      </c>
      <c r="D330" s="16" t="s">
        <v>23</v>
      </c>
      <c r="E330" s="17" t="str">
        <f t="shared" si="43"/>
        <v>111-54 145th St</v>
      </c>
      <c r="F330" s="15" t="s">
        <v>24</v>
      </c>
      <c r="G330" s="18">
        <v>399000</v>
      </c>
      <c r="H330" s="18">
        <v>285</v>
      </c>
      <c r="I330" s="18">
        <v>268</v>
      </c>
      <c r="J330" s="18">
        <v>3221</v>
      </c>
      <c r="K330" s="15" t="s">
        <v>26</v>
      </c>
      <c r="L330" s="16">
        <v>4</v>
      </c>
      <c r="M330" s="16">
        <v>2</v>
      </c>
      <c r="N330" s="16">
        <v>1</v>
      </c>
      <c r="O330" s="16"/>
      <c r="P330" s="21">
        <v>1400</v>
      </c>
      <c r="Q330" s="19">
        <v>61</v>
      </c>
      <c r="R330" s="20">
        <v>45597</v>
      </c>
      <c r="S330" s="20">
        <v>43390</v>
      </c>
      <c r="T330" s="18"/>
      <c r="U330" s="20"/>
      <c r="V330" s="1"/>
    </row>
    <row r="331" spans="1:22" ht="24" customHeight="1">
      <c r="A331" s="1"/>
      <c r="B331" s="14" t="str">
        <f>HYPERLINK("https://www.compass.com/listing/139-19-glassboro-avenue-queens-ny-11435/1730724106711511529/view?agent_id=610d3f3370540700019b0833","139-19 Glassboro Avenue")</f>
        <v>139-19 Glassboro Avenue</v>
      </c>
      <c r="C331" s="15" t="s">
        <v>52</v>
      </c>
      <c r="D331" s="16" t="s">
        <v>23</v>
      </c>
      <c r="E331" s="17" t="str">
        <f>HYPERLINK("https://www.compass.com/building/139-19-glassboro-ave-queens-ny-11435/293527834297647909/","139-19 Glassboro Ave")</f>
        <v>139-19 Glassboro Ave</v>
      </c>
      <c r="F331" s="15" t="s">
        <v>24</v>
      </c>
      <c r="G331" s="18">
        <v>339000</v>
      </c>
      <c r="H331" s="18">
        <v>384</v>
      </c>
      <c r="I331" s="18">
        <v>130</v>
      </c>
      <c r="J331" s="18">
        <v>1555</v>
      </c>
      <c r="K331" s="15" t="s">
        <v>26</v>
      </c>
      <c r="L331" s="16">
        <v>6</v>
      </c>
      <c r="M331" s="16">
        <v>2</v>
      </c>
      <c r="N331" s="16">
        <v>1</v>
      </c>
      <c r="O331" s="16"/>
      <c r="P331" s="16">
        <v>882</v>
      </c>
      <c r="Q331" s="19">
        <v>367</v>
      </c>
      <c r="R331" s="20">
        <v>45597</v>
      </c>
      <c r="S331" s="20">
        <v>41515</v>
      </c>
      <c r="T331" s="18"/>
      <c r="U331" s="20"/>
      <c r="V331" s="1"/>
    </row>
    <row r="332" spans="1:22" ht="24" customHeight="1">
      <c r="A332" s="1"/>
      <c r="B332" s="14" t="str">
        <f>HYPERLINK("https://www.compass.com/listing/139-15-glassboro-avenue-queens-ny-11435/890717412744308465/view?agent_id=610d3f3370540700019b0833","139-15 Glassboro Avenue")</f>
        <v>139-15 Glassboro Avenue</v>
      </c>
      <c r="C332" s="15" t="s">
        <v>52</v>
      </c>
      <c r="D332" s="16" t="s">
        <v>23</v>
      </c>
      <c r="E332" s="17" t="str">
        <f>HYPERLINK("https://www.compass.com/building/139-15-glassboro-ave-queens-ny-11435/293532026261286645/","139-15 Glassboro Ave")</f>
        <v>139-15 Glassboro Ave</v>
      </c>
      <c r="F332" s="15" t="s">
        <v>24</v>
      </c>
      <c r="G332" s="18">
        <v>539000</v>
      </c>
      <c r="H332" s="18">
        <v>611</v>
      </c>
      <c r="I332" s="18">
        <v>252</v>
      </c>
      <c r="J332" s="18">
        <v>3029</v>
      </c>
      <c r="K332" s="15" t="s">
        <v>26</v>
      </c>
      <c r="L332" s="16">
        <v>5</v>
      </c>
      <c r="M332" s="16">
        <v>2</v>
      </c>
      <c r="N332" s="16">
        <v>1</v>
      </c>
      <c r="O332" s="16"/>
      <c r="P332" s="16">
        <v>882</v>
      </c>
      <c r="Q332" s="19">
        <v>364</v>
      </c>
      <c r="R332" s="20">
        <v>45597</v>
      </c>
      <c r="S332" s="20">
        <v>44480</v>
      </c>
      <c r="T332" s="18"/>
      <c r="U332" s="20"/>
      <c r="V332" s="1"/>
    </row>
    <row r="333" spans="1:22" ht="24" customHeight="1">
      <c r="A333" s="1"/>
      <c r="B333" s="14" t="str">
        <f>HYPERLINK("https://www.compass.com/listing/111-56-145th-street-queens-ny-11435/1571943386665901633/view?agent_id=610d3f3370540700019b0833","111-56 145th Street")</f>
        <v>111-56 145th Street</v>
      </c>
      <c r="C333" s="15" t="s">
        <v>52</v>
      </c>
      <c r="D333" s="16" t="s">
        <v>23</v>
      </c>
      <c r="E333" s="17" t="str">
        <f>HYPERLINK("https://www.compass.com/building/111-56-145th-st-queens-ny-11435/293417731854704773/","111-56 145th St")</f>
        <v>111-56 145th St</v>
      </c>
      <c r="F333" s="15" t="s">
        <v>24</v>
      </c>
      <c r="G333" s="18">
        <v>475000</v>
      </c>
      <c r="H333" s="18">
        <v>606</v>
      </c>
      <c r="I333" s="18">
        <v>269</v>
      </c>
      <c r="J333" s="18">
        <v>3225</v>
      </c>
      <c r="K333" s="15" t="s">
        <v>26</v>
      </c>
      <c r="L333" s="16">
        <v>5</v>
      </c>
      <c r="M333" s="16">
        <v>2</v>
      </c>
      <c r="N333" s="16">
        <v>1</v>
      </c>
      <c r="O333" s="16"/>
      <c r="P333" s="16">
        <v>784</v>
      </c>
      <c r="Q333" s="19">
        <v>144</v>
      </c>
      <c r="R333" s="20">
        <v>45597</v>
      </c>
      <c r="S333" s="20">
        <v>45421</v>
      </c>
      <c r="T333" s="18"/>
      <c r="U333" s="20"/>
      <c r="V333" s="1"/>
    </row>
    <row r="334" spans="1:22" ht="24" customHeight="1">
      <c r="A334" s="1"/>
      <c r="B334" s="14" t="str">
        <f>HYPERLINK("https://www.compass.com/listing/109-47-141st-street-queens-ny-11435/1730721929188246769/view?agent_id=610d3f3370540700019b0833","109-47 141st Street")</f>
        <v>109-47 141st Street</v>
      </c>
      <c r="C334" s="15" t="s">
        <v>52</v>
      </c>
      <c r="D334" s="16" t="s">
        <v>23</v>
      </c>
      <c r="E334" s="17" t="str">
        <f>HYPERLINK("https://www.compass.com/building/109-47-141st-st-queens-ny-11435/293528424545256117/","109-47 141st St")</f>
        <v>109-47 141st St</v>
      </c>
      <c r="F334" s="15" t="s">
        <v>24</v>
      </c>
      <c r="G334" s="18">
        <v>460000</v>
      </c>
      <c r="H334" s="18">
        <v>264</v>
      </c>
      <c r="I334" s="18">
        <v>213</v>
      </c>
      <c r="J334" s="18">
        <v>2559</v>
      </c>
      <c r="K334" s="15" t="s">
        <v>26</v>
      </c>
      <c r="L334" s="16">
        <v>5</v>
      </c>
      <c r="M334" s="16">
        <v>2</v>
      </c>
      <c r="N334" s="16">
        <v>1</v>
      </c>
      <c r="O334" s="16"/>
      <c r="P334" s="21">
        <v>1740</v>
      </c>
      <c r="Q334" s="19">
        <v>9</v>
      </c>
      <c r="R334" s="20">
        <v>45597</v>
      </c>
      <c r="S334" s="20">
        <v>41512</v>
      </c>
      <c r="T334" s="18"/>
      <c r="U334" s="20"/>
      <c r="V334" s="1"/>
    </row>
    <row r="335" spans="1:22" ht="24" customHeight="1">
      <c r="A335" s="1"/>
      <c r="B335" s="14" t="str">
        <f>HYPERLINK("https://www.compass.com/listing/111-52-147th-street-queens-ny-11435/500856579751835529/view?agent_id=610d3f3370540700019b0833","111-52 147th Street")</f>
        <v>111-52 147th Street</v>
      </c>
      <c r="C335" s="15" t="s">
        <v>52</v>
      </c>
      <c r="D335" s="16" t="s">
        <v>23</v>
      </c>
      <c r="E335" s="16" t="s">
        <v>58</v>
      </c>
      <c r="F335" s="15" t="s">
        <v>24</v>
      </c>
      <c r="G335" s="18">
        <v>479000</v>
      </c>
      <c r="H335" s="18"/>
      <c r="I335" s="18">
        <v>226</v>
      </c>
      <c r="J335" s="18">
        <v>2713</v>
      </c>
      <c r="K335" s="15" t="s">
        <v>26</v>
      </c>
      <c r="L335" s="16">
        <v>8</v>
      </c>
      <c r="M335" s="16">
        <v>2</v>
      </c>
      <c r="N335" s="16">
        <v>1</v>
      </c>
      <c r="O335" s="16"/>
      <c r="P335" s="16"/>
      <c r="Q335" s="19">
        <v>26</v>
      </c>
      <c r="R335" s="20">
        <v>45597</v>
      </c>
      <c r="S335" s="20">
        <v>43133</v>
      </c>
      <c r="T335" s="18"/>
      <c r="U335" s="20"/>
      <c r="V335" s="1"/>
    </row>
    <row r="336" spans="1:22" ht="24" customHeight="1">
      <c r="A336" s="1"/>
      <c r="B336" s="14" t="str">
        <f>HYPERLINK("https://www.compass.com/listing/111-55-145th-street-queens-ny-11435/1397504592249218281/view?agent_id=610d3f3370540700019b0833","111-55 145th Street")</f>
        <v>111-55 145th Street</v>
      </c>
      <c r="C336" s="15" t="s">
        <v>53</v>
      </c>
      <c r="D336" s="16" t="s">
        <v>23</v>
      </c>
      <c r="E336" s="17" t="str">
        <f>HYPERLINK("https://www.compass.com/building/111-55-145th-st-queens-ny-11435/293528685900835509/","111-55 145th St")</f>
        <v>111-55 145th St</v>
      </c>
      <c r="F336" s="15" t="s">
        <v>24</v>
      </c>
      <c r="G336" s="18">
        <v>585000</v>
      </c>
      <c r="H336" s="18">
        <v>462</v>
      </c>
      <c r="I336" s="18">
        <v>338</v>
      </c>
      <c r="J336" s="18">
        <v>4055</v>
      </c>
      <c r="K336" s="15" t="s">
        <v>30</v>
      </c>
      <c r="L336" s="16">
        <v>4</v>
      </c>
      <c r="M336" s="16">
        <v>2</v>
      </c>
      <c r="N336" s="16">
        <v>0</v>
      </c>
      <c r="O336" s="16"/>
      <c r="P336" s="21">
        <v>1266</v>
      </c>
      <c r="Q336" s="19">
        <v>184</v>
      </c>
      <c r="R336" s="20">
        <v>45180</v>
      </c>
      <c r="S336" s="20">
        <v>44993</v>
      </c>
      <c r="T336" s="18"/>
      <c r="U336" s="20"/>
      <c r="V336" s="1"/>
    </row>
    <row r="337" spans="1:22" ht="24" customHeight="1">
      <c r="A337" s="1"/>
      <c r="B337" s="22" t="s">
        <v>31</v>
      </c>
      <c r="C337" s="22"/>
      <c r="D337" s="23"/>
      <c r="E337" s="23"/>
      <c r="F337" s="22"/>
      <c r="G337" s="24">
        <f ca="1">IFERROR(__xludf.DUMMYFUNCTION("TO_DOLLARS(IFERROR(AVERAGE(G203:G336)))"),282056.925373134)</f>
        <v>282056.92537313403</v>
      </c>
      <c r="H337" s="24">
        <f ca="1">IFERROR(__xludf.DUMMYFUNCTION("TO_DOLLARS(IFERROR(AVERAGE(H203:H336)))"),365.847058823529)</f>
        <v>365.84705882352898</v>
      </c>
      <c r="I337" s="24">
        <f ca="1">IFERROR(__xludf.DUMMYFUNCTION("TO_DOLLARS(IFERROR(AVERAGE(I203:I336)))"),207.843283582089)</f>
        <v>207.84328358208899</v>
      </c>
      <c r="J337" s="24">
        <f ca="1">IFERROR(__xludf.DUMMYFUNCTION("TO_DOLLARS(IFERROR(AVERAGE(J203:J336)))"),1522.921875)</f>
        <v>1522.921875</v>
      </c>
      <c r="K337" s="22"/>
      <c r="L337" s="23"/>
      <c r="M337" s="23"/>
      <c r="N337" s="23"/>
      <c r="O337" s="23"/>
      <c r="P337" s="23">
        <f t="shared" ref="P337:Q337" si="44">IFERROR(AVERAGE(P203:P336),"")</f>
        <v>1032.9764705882353</v>
      </c>
      <c r="Q337" s="25">
        <f t="shared" si="44"/>
        <v>229.87969924812029</v>
      </c>
      <c r="R337" s="26"/>
      <c r="S337" s="26"/>
      <c r="T337" s="24" t="str">
        <f ca="1">IFERROR(__xludf.DUMMYFUNCTION("TO_DOLLARS(IFERROR(AVERAGE(T203:T336)))"),"")</f>
        <v/>
      </c>
      <c r="U337" s="26"/>
      <c r="V337" s="1"/>
    </row>
    <row r="338" spans="1:22" ht="24" customHeight="1">
      <c r="A338" s="1"/>
      <c r="B338" s="27" t="s">
        <v>32</v>
      </c>
      <c r="C338" s="27"/>
      <c r="D338" s="28"/>
      <c r="E338" s="28"/>
      <c r="F338" s="27"/>
      <c r="G338" s="29">
        <f ca="1">IFERROR(__xludf.DUMMYFUNCTION("TO_DOLLARS(IFERROR(MEDIAN(G203:G336)))"),244992.5)</f>
        <v>244992.5</v>
      </c>
      <c r="H338" s="29">
        <f ca="1">IFERROR(__xludf.DUMMYFUNCTION("TO_DOLLARS(IFERROR(MEDIAN(H203:H336)))"),297)</f>
        <v>297</v>
      </c>
      <c r="I338" s="29">
        <f ca="1">IFERROR(__xludf.DUMMYFUNCTION("TO_DOLLARS(IFERROR(MEDIAN(I203:I336)))"),154)</f>
        <v>154</v>
      </c>
      <c r="J338" s="29">
        <f ca="1">IFERROR(__xludf.DUMMYFUNCTION("TO_DOLLARS(IFERROR(MEDIAN(J203:J336)))"),1601)</f>
        <v>1601</v>
      </c>
      <c r="K338" s="27"/>
      <c r="L338" s="28"/>
      <c r="M338" s="28"/>
      <c r="N338" s="28"/>
      <c r="O338" s="28"/>
      <c r="P338" s="28">
        <f t="shared" ref="P338:Q338" si="45">IFERROR(MEDIAN(P203:P336),"")</f>
        <v>900</v>
      </c>
      <c r="Q338" s="30">
        <f t="shared" si="45"/>
        <v>184</v>
      </c>
      <c r="R338" s="31"/>
      <c r="S338" s="31"/>
      <c r="T338" s="29" t="str">
        <f ca="1">IFERROR(__xludf.DUMMYFUNCTION("TO_DOLLARS(IFERROR(MEDIAN(T203:T336)))"),"")</f>
        <v/>
      </c>
      <c r="U338" s="31"/>
      <c r="V338" s="1"/>
    </row>
    <row r="339" spans="1:22" ht="13">
      <c r="A339" s="1"/>
      <c r="B339" s="2"/>
      <c r="C339" s="2"/>
      <c r="D339" s="2"/>
      <c r="E339" s="2"/>
      <c r="F339" s="2"/>
      <c r="G339" s="2"/>
      <c r="H339" s="2"/>
      <c r="I339" s="2"/>
      <c r="J339" s="2"/>
      <c r="K339" s="2"/>
      <c r="L339" s="2"/>
      <c r="M339" s="2"/>
      <c r="N339" s="2"/>
      <c r="O339" s="2"/>
      <c r="P339" s="2"/>
      <c r="Q339" s="2"/>
      <c r="R339" s="2"/>
      <c r="S339" s="2"/>
      <c r="T339" s="2"/>
      <c r="U339" s="2"/>
      <c r="V339" s="1"/>
    </row>
    <row r="340" spans="1:22" ht="13">
      <c r="A340" s="1"/>
      <c r="B340" s="2"/>
      <c r="C340" s="2"/>
      <c r="D340" s="2"/>
      <c r="E340" s="2"/>
      <c r="F340" s="2"/>
      <c r="G340" s="2"/>
      <c r="H340" s="2"/>
      <c r="I340" s="2"/>
      <c r="J340" s="2"/>
      <c r="K340" s="2"/>
      <c r="L340" s="2"/>
      <c r="M340" s="2"/>
      <c r="N340" s="2"/>
      <c r="O340" s="2"/>
      <c r="P340" s="2"/>
      <c r="Q340" s="2"/>
      <c r="R340" s="2"/>
      <c r="S340" s="2"/>
      <c r="T340" s="2"/>
      <c r="U340" s="2"/>
      <c r="V340" s="1"/>
    </row>
    <row r="341" spans="1:22" ht="18.75" customHeight="1">
      <c r="A341" s="1"/>
      <c r="B341" s="33" t="s">
        <v>62</v>
      </c>
      <c r="C341" s="34"/>
      <c r="D341" s="34"/>
      <c r="E341" s="34"/>
      <c r="F341" s="34"/>
      <c r="G341" s="34"/>
      <c r="H341" s="34"/>
      <c r="I341" s="34"/>
      <c r="J341" s="34"/>
      <c r="K341" s="34"/>
      <c r="L341" s="34"/>
      <c r="M341" s="34"/>
      <c r="N341" s="34"/>
      <c r="O341" s="34"/>
      <c r="P341" s="34"/>
      <c r="Q341" s="34"/>
      <c r="R341" s="34"/>
      <c r="S341" s="34"/>
      <c r="T341" s="34"/>
      <c r="U341" s="35"/>
      <c r="V341" s="1"/>
    </row>
    <row r="342" spans="1:22" ht="18.75" customHeight="1">
      <c r="A342" s="1"/>
      <c r="B342" s="36" t="s">
        <v>63</v>
      </c>
      <c r="C342" s="34"/>
      <c r="D342" s="34"/>
      <c r="E342" s="34"/>
      <c r="F342" s="34"/>
      <c r="G342" s="34"/>
      <c r="H342" s="34"/>
      <c r="I342" s="34"/>
      <c r="J342" s="34"/>
      <c r="K342" s="34"/>
      <c r="L342" s="34"/>
      <c r="M342" s="34"/>
      <c r="N342" s="34"/>
      <c r="O342" s="34"/>
      <c r="P342" s="34"/>
      <c r="Q342" s="34"/>
      <c r="R342" s="34"/>
      <c r="S342" s="34"/>
      <c r="T342" s="34"/>
      <c r="U342" s="35"/>
      <c r="V342" s="1"/>
    </row>
    <row r="343" spans="1:22" ht="37.5" customHeight="1">
      <c r="A343" s="1"/>
      <c r="B343" s="37"/>
      <c r="C343" s="34"/>
      <c r="D343" s="34"/>
      <c r="E343" s="34"/>
      <c r="F343" s="34"/>
      <c r="G343" s="34"/>
      <c r="H343" s="34"/>
      <c r="I343" s="34"/>
      <c r="J343" s="34"/>
      <c r="K343" s="34"/>
      <c r="L343" s="34"/>
      <c r="M343" s="34"/>
      <c r="N343" s="34"/>
      <c r="O343" s="34"/>
      <c r="P343" s="34"/>
      <c r="Q343" s="34"/>
      <c r="R343" s="34"/>
      <c r="S343" s="34"/>
      <c r="T343" s="34"/>
      <c r="U343" s="35"/>
      <c r="V343" s="1"/>
    </row>
    <row r="344" spans="1:22" ht="13">
      <c r="A344" s="1"/>
      <c r="B344" s="38" t="s">
        <v>64</v>
      </c>
      <c r="C344" s="34"/>
      <c r="D344" s="34"/>
      <c r="E344" s="34"/>
      <c r="F344" s="34"/>
      <c r="G344" s="34"/>
      <c r="H344" s="34"/>
      <c r="I344" s="34"/>
      <c r="J344" s="34"/>
      <c r="K344" s="34"/>
      <c r="L344" s="34"/>
      <c r="M344" s="34"/>
      <c r="N344" s="34"/>
      <c r="O344" s="34"/>
      <c r="P344" s="34"/>
      <c r="Q344" s="34"/>
      <c r="R344" s="34"/>
      <c r="S344" s="34"/>
      <c r="T344" s="34"/>
      <c r="U344" s="35"/>
      <c r="V344" s="1"/>
    </row>
    <row r="345" spans="1:22" ht="13">
      <c r="A345" s="1"/>
      <c r="B345" s="2"/>
      <c r="C345" s="2"/>
      <c r="D345" s="2"/>
      <c r="E345" s="2"/>
      <c r="F345" s="2"/>
      <c r="G345" s="2"/>
      <c r="H345" s="2"/>
      <c r="I345" s="2"/>
      <c r="J345" s="2"/>
      <c r="K345" s="2"/>
      <c r="L345" s="2"/>
      <c r="M345" s="2"/>
      <c r="N345" s="2"/>
      <c r="O345" s="2"/>
      <c r="P345" s="2"/>
      <c r="Q345" s="2"/>
      <c r="R345" s="2"/>
      <c r="S345" s="2"/>
      <c r="T345" s="2"/>
      <c r="U345" s="2"/>
      <c r="V345" s="1"/>
    </row>
  </sheetData>
  <mergeCells count="11">
    <mergeCell ref="B341:U341"/>
    <mergeCell ref="B342:U342"/>
    <mergeCell ref="B343:U343"/>
    <mergeCell ref="B344:U344"/>
    <mergeCell ref="B2:U2"/>
    <mergeCell ref="B3:U3"/>
    <mergeCell ref="B4:U4"/>
    <mergeCell ref="B5:U5"/>
    <mergeCell ref="B17:U17"/>
    <mergeCell ref="B32:U32"/>
    <mergeCell ref="B201:U20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report generated at 0147pm on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Owen Huang</cp:lastModifiedBy>
  <dcterms:modified xsi:type="dcterms:W3CDTF">2025-07-28T16:03:08Z</dcterms:modified>
</cp:coreProperties>
</file>