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generated at 0156pm on 2" sheetId="1" r:id="rId4"/>
  </sheets>
  <definedNames/>
  <calcPr/>
</workbook>
</file>

<file path=xl/sharedStrings.xml><?xml version="1.0" encoding="utf-8"?>
<sst xmlns="http://schemas.openxmlformats.org/spreadsheetml/2006/main" count="319" uniqueCount="49">
  <si>
    <t>Property Analysis</t>
  </si>
  <si>
    <t>Contract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</si>
  <si>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</si>
  <si>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</si>
  <si>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</si>
  <si>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</si>
  <si>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</si>
  <si>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</si>
  <si>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</si>
  <si>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</si>
  <si>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</si>
  <si>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</si>
  <si>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</si>
  <si>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</si>
  <si>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</si>
  <si>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</si>
  <si>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</si>
  <si>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</si>
  <si>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</si>
  <si>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</si>
  <si>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</si>
  <si>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</si>
  <si>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Contract Signed</t>
  </si>
  <si>
    <t>Sale</t>
  </si>
  <si>
    <t>Jamaica</t>
  </si>
  <si>
    <t>Single Family</t>
  </si>
  <si>
    <t>Average</t>
  </si>
  <si>
    <t>Median</t>
  </si>
  <si>
    <t>Sold Listings</t>
  </si>
  <si>
    <t>Sold</t>
  </si>
  <si>
    <t>Townhouse/Single Family</t>
  </si>
  <si>
    <t>Townhouse/Multi Family/Single Family</t>
  </si>
  <si>
    <t>Multi Family/Townhouse</t>
  </si>
  <si>
    <t>Townhouse/Multi Family</t>
  </si>
  <si>
    <t>South Side Park</t>
  </si>
  <si>
    <t>Other Listings</t>
  </si>
  <si>
    <t>Exclusive Expired</t>
  </si>
  <si>
    <t>Permanently Off Market</t>
  </si>
  <si>
    <t>Single Family/Townhouse</t>
  </si>
  <si>
    <t>112-76 Dillon St</t>
  </si>
  <si>
    <t>167-27 167th St</t>
  </si>
  <si>
    <t>Multi Family</t>
  </si>
  <si>
    <t>Eastwood</t>
  </si>
  <si>
    <t>Woodhull Park</t>
  </si>
  <si>
    <t>Condo</t>
  </si>
  <si>
    <t>Temporarily Off Market</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</si>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</sst>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0"/>
    <numFmt numFmtId="166" formatCode="mm/dd/yyyy"/>
  </numFmts>
  <fonts count="14">
    <font>
      <sz val="10.0"/>
      <color rgb="FF000000"/>
      <name val="Arial"/>
      <scheme val="minor"/>
    </font>
    <font>
      <color theme="1"/>
      <name val="Arial"/>
      <scheme val="minor"/>
    </font>
    <font>
      <color theme="1"/>
      <name val="Helvetica"/>
    </font>
    <font>
      <sz val="24.0"/>
      <color theme="1"/>
      <name val="Helvetica"/>
    </font>
    <font/>
    <font>
      <b/>
      <sz val="13.0"/>
      <color rgb="FF000000"/>
      <name val="Helvetica"/>
    </font>
    <font>
      <b/>
      <sz val="10.0"/>
      <color theme="1"/>
      <name val="Helvetica"/>
    </font>
    <font>
      <u/>
      <sz val="10.0"/>
      <color rgb="FF3D3D3D"/>
      <name val="Helvetica"/>
    </font>
    <font>
      <sz val="10.0"/>
      <color rgb="FF3D3D3D"/>
      <name val="Helvetica"/>
    </font>
    <font>
      <u/>
      <sz val="10.0"/>
      <color rgb="FF3D3D3D"/>
      <name val="Helvetica"/>
    </font>
    <font>
      <b/>
      <sz val="10.0"/>
      <color rgb="FF000000"/>
      <name val="Helvetica"/>
    </font>
    <font>
      <u/>
      <sz val="10.0"/>
      <color rgb="FF3D3D3D"/>
      <name val="Helvetica"/>
    </font>
    <font>
      <u/>
      <sz val="10.0"/>
      <color rgb="FF3D3D3D"/>
      <name val="Helvetica"/>
    </font>
    <font>
      <i/>
      <sz val="12.0"/>
      <color theme="1"/>
      <name val="Helvetica"/>
    </font>
  </fonts>
  <fills count="3">
    <fill>
      <patternFill patternType="none"/>
    </fill>
    <fill>
      <patternFill patternType="lightGray"/>
    </fill>
    <fill>
      <patternFill patternType="solid">
        <fgColor rgb="FFF9F9F9"/>
        <bgColor rgb="FFF9F9F9"/>
      </patternFill>
    </fill>
  </fills>
  <borders count="8">
    <border/>
    <border>
      <left/>
      <right/>
      <top/>
      <bottom/>
    </border>
    <border>
      <left/>
      <top/>
      <bottom/>
    </border>
    <border>
      <top/>
      <bottom/>
    </border>
    <border>
      <right/>
      <top/>
      <bottom/>
    </border>
    <border>
      <left/>
      <right/>
      <top/>
      <bottom style="thin">
        <color rgb="FFF2F2F2"/>
      </bottom>
    </border>
    <border>
      <left/>
      <right/>
      <bottom/>
    </border>
    <border>
      <left/>
      <right/>
      <top style="thin">
        <color rgb="FFF2F2F2"/>
      </top>
      <bottom style="thin">
        <color rgb="FFF2F2F2"/>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1" numFmtId="0" xfId="0" applyBorder="1" applyFont="1"/>
    <xf borderId="2" fillId="0" fontId="3" numFmtId="0" xfId="0" applyAlignment="1" applyBorder="1" applyFont="1">
      <alignment horizontal="left" readingOrder="0" vertical="center"/>
    </xf>
    <xf borderId="3" fillId="0" fontId="4" numFmtId="0" xfId="0" applyBorder="1" applyFont="1"/>
    <xf borderId="4" fillId="0" fontId="4" numFmtId="0" xfId="0" applyBorder="1" applyFont="1"/>
    <xf borderId="1" fillId="0" fontId="1" numFmtId="164" xfId="0" applyBorder="1" applyFont="1" applyNumberFormat="1"/>
    <xf borderId="2" fillId="0" fontId="2" numFmtId="164" xfId="0" applyAlignment="1" applyBorder="1" applyFont="1" applyNumberFormat="1">
      <alignment horizontal="left" readingOrder="0" vertical="center"/>
    </xf>
    <xf borderId="2" fillId="0" fontId="2" numFmtId="0" xfId="0" applyAlignment="1" applyBorder="1" applyFont="1">
      <alignment horizontal="center"/>
    </xf>
    <xf borderId="2" fillId="0" fontId="5" numFmtId="0" xfId="0" applyAlignment="1" applyBorder="1" applyFont="1">
      <alignment readingOrder="0" vertical="center"/>
    </xf>
    <xf borderId="1" fillId="2" fontId="6" numFmtId="0" xfId="0" applyAlignment="1" applyBorder="1" applyFill="1" applyFont="1">
      <alignment horizontal="left" readingOrder="0" shrinkToFit="0" vertical="center" wrapText="1"/>
    </xf>
    <xf borderId="1" fillId="2" fontId="6" numFmtId="0" xfId="0" applyAlignment="1" applyBorder="1" applyFont="1">
      <alignment readingOrder="0" shrinkToFit="0" vertical="center" wrapText="1"/>
    </xf>
    <xf borderId="1" fillId="2" fontId="6" numFmtId="0" xfId="0" applyAlignment="1" applyBorder="1" applyFont="1">
      <alignment horizontal="right" readingOrder="0" shrinkToFit="0" vertical="center" wrapText="1"/>
    </xf>
    <xf borderId="5" fillId="0" fontId="7" numFmtId="0" xfId="0" applyAlignment="1" applyBorder="1" applyFont="1">
      <alignment horizontal="left" vertical="center"/>
    </xf>
    <xf borderId="5" fillId="0" fontId="8" numFmtId="0" xfId="0" applyAlignment="1" applyBorder="1" applyFont="1">
      <alignment horizontal="left" readingOrder="0" vertical="center"/>
    </xf>
    <xf borderId="5" fillId="0" fontId="8" numFmtId="0" xfId="0" applyAlignment="1" applyBorder="1" applyFont="1">
      <alignment readingOrder="0" vertical="center"/>
    </xf>
    <xf borderId="5" fillId="0" fontId="9" numFmtId="0" xfId="0" applyAlignment="1" applyBorder="1" applyFont="1">
      <alignment vertical="center"/>
    </xf>
    <xf borderId="5" fillId="0" fontId="8" numFmtId="165" xfId="0" applyAlignment="1" applyBorder="1" applyFont="1" applyNumberFormat="1">
      <alignment horizontal="right" readingOrder="0" vertical="center"/>
    </xf>
    <xf borderId="5" fillId="0" fontId="8" numFmtId="0" xfId="0" applyAlignment="1" applyBorder="1" applyFont="1">
      <alignment vertical="center"/>
    </xf>
    <xf borderId="5" fillId="0" fontId="8" numFmtId="3" xfId="0" applyAlignment="1" applyBorder="1" applyFont="1" applyNumberFormat="1">
      <alignment readingOrder="0" vertical="center"/>
    </xf>
    <xf borderId="5" fillId="0" fontId="8" numFmtId="3" xfId="0" applyAlignment="1" applyBorder="1" applyFont="1" applyNumberFormat="1">
      <alignment horizontal="right" readingOrder="0" vertical="center"/>
    </xf>
    <xf borderId="5" fillId="0" fontId="8" numFmtId="166" xfId="0" applyAlignment="1" applyBorder="1" applyFont="1" applyNumberFormat="1">
      <alignment horizontal="left" readingOrder="0" vertical="center"/>
    </xf>
    <xf borderId="5" fillId="0" fontId="8" numFmtId="165" xfId="0" applyAlignment="1" applyBorder="1" applyFont="1" applyNumberFormat="1">
      <alignment horizontal="right" vertical="center"/>
    </xf>
    <xf borderId="5" fillId="0" fontId="8" numFmtId="166" xfId="0" applyAlignment="1" applyBorder="1" applyFont="1" applyNumberFormat="1">
      <alignment horizontal="left" vertical="center"/>
    </xf>
    <xf borderId="6" fillId="0" fontId="10" numFmtId="0" xfId="0" applyAlignment="1" applyBorder="1" applyFont="1">
      <alignment horizontal="left" readingOrder="0" vertical="center"/>
    </xf>
    <xf borderId="6" fillId="0" fontId="10" numFmtId="0" xfId="0" applyAlignment="1" applyBorder="1" applyFont="1">
      <alignment horizontal="left" vertical="center"/>
    </xf>
    <xf borderId="6" fillId="0" fontId="10" numFmtId="0" xfId="0" applyAlignment="1" applyBorder="1" applyFont="1">
      <alignment vertical="center"/>
    </xf>
    <xf borderId="6" fillId="0" fontId="10" numFmtId="165" xfId="0" applyAlignment="1" applyBorder="1" applyFont="1" applyNumberFormat="1">
      <alignment horizontal="right" vertical="center"/>
    </xf>
    <xf borderId="6" fillId="0" fontId="10" numFmtId="3" xfId="0" applyAlignment="1" applyBorder="1" applyFont="1" applyNumberFormat="1">
      <alignment horizontal="right" vertical="center"/>
    </xf>
    <xf borderId="6" fillId="0" fontId="10" numFmtId="166" xfId="0" applyAlignment="1" applyBorder="1" applyFont="1" applyNumberFormat="1">
      <alignment horizontal="left" vertical="center"/>
    </xf>
    <xf borderId="1" fillId="0" fontId="10" numFmtId="0" xfId="0" applyAlignment="1" applyBorder="1" applyFont="1">
      <alignment horizontal="left" readingOrder="0" vertical="center"/>
    </xf>
    <xf borderId="1" fillId="0" fontId="10" numFmtId="0" xfId="0" applyAlignment="1" applyBorder="1" applyFont="1">
      <alignment horizontal="left" vertical="center"/>
    </xf>
    <xf borderId="1" fillId="0" fontId="10" numFmtId="0" xfId="0" applyAlignment="1" applyBorder="1" applyFont="1">
      <alignment vertical="center"/>
    </xf>
    <xf borderId="1" fillId="0" fontId="10" numFmtId="165" xfId="0" applyAlignment="1" applyBorder="1" applyFont="1" applyNumberFormat="1">
      <alignment horizontal="right" vertical="center"/>
    </xf>
    <xf borderId="1" fillId="0" fontId="10" numFmtId="3" xfId="0" applyAlignment="1" applyBorder="1" applyFont="1" applyNumberFormat="1">
      <alignment horizontal="right" vertical="center"/>
    </xf>
    <xf borderId="1" fillId="0" fontId="10" numFmtId="166" xfId="0" applyAlignment="1" applyBorder="1" applyFont="1" applyNumberFormat="1">
      <alignment horizontal="left" vertical="center"/>
    </xf>
    <xf borderId="7" fillId="0" fontId="11" numFmtId="0" xfId="0" applyAlignment="1" applyBorder="1" applyFont="1">
      <alignment horizontal="left" vertical="center"/>
    </xf>
    <xf borderId="7" fillId="0" fontId="8" numFmtId="0" xfId="0" applyAlignment="1" applyBorder="1" applyFont="1">
      <alignment horizontal="left" readingOrder="0" vertical="center"/>
    </xf>
    <xf borderId="7" fillId="0" fontId="8" numFmtId="0" xfId="0" applyAlignment="1" applyBorder="1" applyFont="1">
      <alignment readingOrder="0" vertical="center"/>
    </xf>
    <xf borderId="7" fillId="0" fontId="12" numFmtId="0" xfId="0" applyAlignment="1" applyBorder="1" applyFont="1">
      <alignment vertical="center"/>
    </xf>
    <xf borderId="7" fillId="0" fontId="8" numFmtId="165" xfId="0" applyAlignment="1" applyBorder="1" applyFont="1" applyNumberFormat="1">
      <alignment horizontal="right" readingOrder="0" vertical="center"/>
    </xf>
    <xf borderId="7" fillId="0" fontId="8" numFmtId="165" xfId="0" applyAlignment="1" applyBorder="1" applyFont="1" applyNumberFormat="1">
      <alignment horizontal="right" vertical="center"/>
    </xf>
    <xf borderId="7" fillId="0" fontId="8" numFmtId="0" xfId="0" applyAlignment="1" applyBorder="1" applyFont="1">
      <alignment vertical="center"/>
    </xf>
    <xf borderId="7" fillId="0" fontId="8" numFmtId="3" xfId="0" applyAlignment="1" applyBorder="1" applyFont="1" applyNumberFormat="1">
      <alignment horizontal="right" readingOrder="0" vertical="center"/>
    </xf>
    <xf borderId="7" fillId="0" fontId="8" numFmtId="166" xfId="0" applyAlignment="1" applyBorder="1" applyFont="1" applyNumberFormat="1">
      <alignment horizontal="left" readingOrder="0" vertical="center"/>
    </xf>
    <xf borderId="7" fillId="0" fontId="8" numFmtId="3" xfId="0" applyAlignment="1" applyBorder="1" applyFont="1" applyNumberFormat="1">
      <alignment readingOrder="0" vertical="center"/>
    </xf>
    <xf borderId="7" fillId="0" fontId="8" numFmtId="3" xfId="0" applyAlignment="1" applyBorder="1" applyFont="1" applyNumberFormat="1">
      <alignment horizontal="right" vertical="center"/>
    </xf>
    <xf borderId="7" fillId="0" fontId="8" numFmtId="166" xfId="0" applyAlignment="1" applyBorder="1" applyFont="1" applyNumberFormat="1">
      <alignment horizontal="left" vertical="center"/>
    </xf>
    <xf borderId="2" fillId="0" fontId="2" numFmtId="0" xfId="0" applyAlignment="1" applyBorder="1" applyFont="1">
      <alignment readingOrder="0" vertical="center"/>
    </xf>
    <xf borderId="2" fillId="0" fontId="2" numFmtId="0" xfId="0" applyBorder="1" applyFont="1"/>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1.38"/>
    <col customWidth="1" min="3" max="3" width="20.63"/>
    <col customWidth="1" min="4" max="4" width="12.25"/>
    <col customWidth="1" min="5" max="5" width="22.0"/>
    <col customWidth="1" min="6" max="6" width="14.88"/>
    <col customWidth="1" min="7" max="7" width="11.38"/>
    <col customWidth="1" min="8" max="8" width="7.88"/>
    <col customWidth="1" min="9" max="9" width="15.0"/>
    <col customWidth="1" min="10" max="10" width="13.13"/>
    <col customWidth="1" min="11" max="11" width="31.5"/>
    <col customWidth="1" min="12" max="12" width="8.5"/>
    <col customWidth="1" min="13" max="13" width="7.13"/>
    <col customWidth="1" min="14" max="15" width="11.13"/>
    <col customWidth="1" min="16" max="16" width="13.25"/>
    <col customWidth="1" min="17" max="17" width="7.5"/>
    <col customWidth="1" min="18" max="18" width="13.25"/>
    <col customWidth="1" min="19" max="19" width="12.13"/>
    <col customWidth="1" min="20" max="20" width="11.38"/>
    <col customWidth="1" min="21" max="21" width="12.13"/>
    <col customWidth="1" min="22" max="22" width="5.13"/>
  </cols>
  <sheetData>
    <row r="1">
      <c r="A1" s="1"/>
      <c r="B1" s="2"/>
      <c r="C1" s="2"/>
      <c r="D1" s="2"/>
      <c r="E1" s="2"/>
      <c r="F1" s="2"/>
      <c r="G1" s="2"/>
      <c r="H1" s="2"/>
      <c r="I1" s="2"/>
      <c r="J1" s="2"/>
      <c r="K1" s="2"/>
      <c r="L1" s="2"/>
      <c r="M1" s="2"/>
      <c r="N1" s="2"/>
      <c r="O1" s="2"/>
      <c r="P1" s="2"/>
      <c r="Q1" s="2"/>
      <c r="R1" s="2"/>
      <c r="S1" s="2"/>
      <c r="T1" s="2"/>
      <c r="U1" s="2"/>
      <c r="V1" s="1"/>
    </row>
    <row r="2" ht="37.5" customHeight="1">
      <c r="A2" s="3"/>
      <c r="B2" s="4" t="s">
        <v>0</v>
      </c>
      <c r="C2" s="5"/>
      <c r="D2" s="5"/>
      <c r="E2" s="5"/>
      <c r="F2" s="5"/>
      <c r="G2" s="5"/>
      <c r="H2" s="5"/>
      <c r="I2" s="5"/>
      <c r="J2" s="5"/>
      <c r="K2" s="5"/>
      <c r="L2" s="5"/>
      <c r="M2" s="5"/>
      <c r="N2" s="5"/>
      <c r="O2" s="5"/>
      <c r="P2" s="5"/>
      <c r="Q2" s="5"/>
      <c r="R2" s="5"/>
      <c r="S2" s="5"/>
      <c r="T2" s="5"/>
      <c r="U2" s="6"/>
      <c r="V2" s="1"/>
    </row>
    <row r="3" ht="18.75" customHeight="1">
      <c r="A3" s="7"/>
      <c r="B3" s="8">
        <v>45863.0</v>
      </c>
      <c r="C3" s="5"/>
      <c r="D3" s="5"/>
      <c r="E3" s="5"/>
      <c r="F3" s="5"/>
      <c r="G3" s="5"/>
      <c r="H3" s="5"/>
      <c r="I3" s="5"/>
      <c r="J3" s="5"/>
      <c r="K3" s="5"/>
      <c r="L3" s="5"/>
      <c r="M3" s="5"/>
      <c r="N3" s="5"/>
      <c r="O3" s="5"/>
      <c r="P3" s="5"/>
      <c r="Q3" s="5"/>
      <c r="R3" s="5"/>
      <c r="S3" s="5"/>
      <c r="T3" s="5"/>
      <c r="U3" s="6"/>
      <c r="V3" s="1"/>
    </row>
    <row r="4" ht="37.5" customHeight="1">
      <c r="A4" s="1"/>
      <c r="B4" s="9"/>
      <c r="C4" s="5"/>
      <c r="D4" s="5"/>
      <c r="E4" s="5"/>
      <c r="F4" s="5"/>
      <c r="G4" s="5"/>
      <c r="H4" s="5"/>
      <c r="I4" s="5"/>
      <c r="J4" s="5"/>
      <c r="K4" s="5"/>
      <c r="L4" s="5"/>
      <c r="M4" s="5"/>
      <c r="N4" s="5"/>
      <c r="O4" s="5"/>
      <c r="P4" s="5"/>
      <c r="Q4" s="5"/>
      <c r="R4" s="5"/>
      <c r="S4" s="5"/>
      <c r="T4" s="5"/>
      <c r="U4" s="6"/>
      <c r="V4" s="1"/>
    </row>
    <row r="5" ht="24.0" customHeight="1">
      <c r="A5" s="3"/>
      <c r="B5" s="10" t="s">
        <v>1</v>
      </c>
      <c r="C5" s="5"/>
      <c r="D5" s="5"/>
      <c r="E5" s="5"/>
      <c r="F5" s="5"/>
      <c r="G5" s="5"/>
      <c r="H5" s="5"/>
      <c r="I5" s="5"/>
      <c r="J5" s="5"/>
      <c r="K5" s="5"/>
      <c r="L5" s="5"/>
      <c r="M5" s="5"/>
      <c r="N5" s="5"/>
      <c r="O5" s="5"/>
      <c r="P5" s="5"/>
      <c r="Q5" s="5"/>
      <c r="R5" s="5"/>
      <c r="S5" s="5"/>
      <c r="T5" s="5"/>
      <c r="U5" s="6"/>
      <c r="V5" s="1"/>
    </row>
    <row r="6" ht="24.0" customHeight="1">
      <c r="A6" s="3"/>
      <c r="B6" s="11" t="s">
        <v>2</v>
      </c>
      <c r="C6" s="11" t="s">
        <v>3</v>
      </c>
      <c r="D6" s="12" t="s">
        <v>4</v>
      </c>
      <c r="E6" s="12" t="s">
        <v>5</v>
      </c>
      <c r="F6" s="11" t="s">
        <v>6</v>
      </c>
      <c r="G6" s="13" t="s">
        <v>7</v>
      </c>
      <c r="H6" s="13" t="s">
        <v>8</v>
      </c>
      <c r="I6" s="13" t="s">
        <v>9</v>
      </c>
      <c r="J6" s="13" t="s">
        <v>10</v>
      </c>
      <c r="K6" s="11" t="s">
        <v>11</v>
      </c>
      <c r="L6" s="12" t="s">
        <v>12</v>
      </c>
      <c r="M6" s="12" t="s">
        <v>13</v>
      </c>
      <c r="N6" s="12" t="s">
        <v>14</v>
      </c>
      <c r="O6" s="12" t="s">
        <v>15</v>
      </c>
      <c r="P6" s="12" t="s">
        <v>16</v>
      </c>
      <c r="Q6" s="13" t="s">
        <v>17</v>
      </c>
      <c r="R6" s="11" t="s">
        <v>18</v>
      </c>
      <c r="S6" s="11" t="s">
        <v>19</v>
      </c>
      <c r="T6" s="13" t="s">
        <v>20</v>
      </c>
      <c r="U6" s="11" t="s">
        <v>21</v>
      </c>
      <c r="V6" s="1"/>
    </row>
    <row r="7" ht="24.0" customHeight="1">
      <c r="A7" s="1"/>
      <c r="B7" s="14" t="str">
        <f>HYPERLINK("https://www.compass.com/listing/107-17-157th-street-queens-ny-11433/1887066447292683529/view?agent_id=610d3f3370540700019b0833","107-17 157th St")</f>
        <v>107-17 157th St</v>
      </c>
      <c r="C7" s="15" t="s">
        <v>22</v>
      </c>
      <c r="D7" s="16" t="s">
        <v>23</v>
      </c>
      <c r="E7" s="17" t="str">
        <f>HYPERLINK("https://www.compass.com/building/107-17-157th-st-queens-ny-11433/293527654311733541/","107-17 157th St")</f>
        <v>107-17 157th St</v>
      </c>
      <c r="F7" s="15" t="s">
        <v>24</v>
      </c>
      <c r="G7" s="18">
        <v>379900.0</v>
      </c>
      <c r="H7" s="18">
        <v>330.0</v>
      </c>
      <c r="I7" s="18">
        <v>244.0</v>
      </c>
      <c r="J7" s="18">
        <v>2932.0</v>
      </c>
      <c r="K7" s="15" t="s">
        <v>25</v>
      </c>
      <c r="L7" s="16">
        <v>7.0</v>
      </c>
      <c r="M7" s="16">
        <v>4.0</v>
      </c>
      <c r="N7" s="16">
        <v>1.0</v>
      </c>
      <c r="O7" s="19"/>
      <c r="P7" s="20">
        <v>1152.0</v>
      </c>
      <c r="Q7" s="21">
        <v>1.0</v>
      </c>
      <c r="R7" s="22">
        <v>45857.0</v>
      </c>
      <c r="S7" s="22">
        <v>45855.0</v>
      </c>
      <c r="T7" s="23"/>
      <c r="U7" s="24"/>
      <c r="V7" s="1"/>
    </row>
    <row r="8" ht="24.0" customHeight="1">
      <c r="A8" s="3"/>
      <c r="B8" s="25" t="s">
        <v>26</v>
      </c>
      <c r="C8" s="26"/>
      <c r="D8" s="27"/>
      <c r="E8" s="27"/>
      <c r="F8" s="26"/>
      <c r="G8" s="28">
        <f>IFERROR(__xludf.DUMMYFUNCTION("TO_DOLLARS(IFERROR(AVERAGE(G7)))"),379900.0)</f>
        <v>379900</v>
      </c>
      <c r="H8" s="28">
        <f>IFERROR(__xludf.DUMMYFUNCTION("TO_DOLLARS(IFERROR(AVERAGE(H7)))"),330.0)</f>
        <v>330</v>
      </c>
      <c r="I8" s="28">
        <f>IFERROR(__xludf.DUMMYFUNCTION("TO_DOLLARS(IFERROR(AVERAGE(I7)))"),244.0)</f>
        <v>244</v>
      </c>
      <c r="J8" s="28">
        <f>IFERROR(__xludf.DUMMYFUNCTION("TO_DOLLARS(IFERROR(AVERAGE(J7)))"),2932.0)</f>
        <v>2932</v>
      </c>
      <c r="K8" s="26"/>
      <c r="L8" s="27"/>
      <c r="M8" s="27"/>
      <c r="N8" s="27"/>
      <c r="O8" s="27"/>
      <c r="P8" s="27">
        <f t="shared" ref="P8:Q8" si="1">IFERROR(AVERAGE(P7),"")</f>
        <v>1152</v>
      </c>
      <c r="Q8" s="29">
        <f t="shared" si="1"/>
        <v>1</v>
      </c>
      <c r="R8" s="30"/>
      <c r="S8" s="30"/>
      <c r="T8" s="28" t="str">
        <f>IFERROR(__xludf.DUMMYFUNCTION("TO_DOLLARS(IFERROR(AVERAGE(T7)))"),"")</f>
        <v/>
      </c>
      <c r="U8" s="30"/>
      <c r="V8" s="1"/>
    </row>
    <row r="9" ht="24.0" customHeight="1">
      <c r="A9" s="3"/>
      <c r="B9" s="31" t="s">
        <v>27</v>
      </c>
      <c r="C9" s="32"/>
      <c r="D9" s="33"/>
      <c r="E9" s="33"/>
      <c r="F9" s="32"/>
      <c r="G9" s="34">
        <f>IFERROR(__xludf.DUMMYFUNCTION("TO_DOLLARS(IFERROR(MEDIAN(G7)))"),379900.0)</f>
        <v>379900</v>
      </c>
      <c r="H9" s="34">
        <f>IFERROR(__xludf.DUMMYFUNCTION("TO_DOLLARS(IFERROR(MEDIAN(H7)))"),330.0)</f>
        <v>330</v>
      </c>
      <c r="I9" s="34">
        <f>IFERROR(__xludf.DUMMYFUNCTION("TO_DOLLARS(IFERROR(MEDIAN(I7)))"),244.0)</f>
        <v>244</v>
      </c>
      <c r="J9" s="34">
        <f>IFERROR(__xludf.DUMMYFUNCTION("TO_DOLLARS(IFERROR(MEDIAN(J7)))"),2932.0)</f>
        <v>2932</v>
      </c>
      <c r="K9" s="32"/>
      <c r="L9" s="33"/>
      <c r="M9" s="33"/>
      <c r="N9" s="33"/>
      <c r="O9" s="33"/>
      <c r="P9" s="33">
        <f t="shared" ref="P9:Q9" si="2">IFERROR(MEDIAN(P7),"")</f>
        <v>1152</v>
      </c>
      <c r="Q9" s="35">
        <f t="shared" si="2"/>
        <v>1</v>
      </c>
      <c r="R9" s="36"/>
      <c r="S9" s="36"/>
      <c r="T9" s="34" t="str">
        <f>IFERROR(__xludf.DUMMYFUNCTION("TO_DOLLARS(IFERROR(MEDIAN(T7)))"),"")</f>
        <v/>
      </c>
      <c r="U9" s="36"/>
      <c r="V9" s="1"/>
    </row>
    <row r="10">
      <c r="A10" s="1"/>
      <c r="B10" s="2"/>
      <c r="C10" s="2"/>
      <c r="D10" s="2"/>
      <c r="E10" s="2"/>
      <c r="F10" s="2"/>
      <c r="G10" s="2"/>
      <c r="H10" s="2"/>
      <c r="I10" s="2"/>
      <c r="J10" s="2"/>
      <c r="K10" s="2"/>
      <c r="L10" s="2"/>
      <c r="M10" s="2"/>
      <c r="N10" s="2"/>
      <c r="O10" s="2"/>
      <c r="P10" s="2"/>
      <c r="Q10" s="2"/>
      <c r="R10" s="2"/>
      <c r="S10" s="2"/>
      <c r="T10" s="2"/>
      <c r="U10" s="2"/>
      <c r="V10" s="1"/>
    </row>
    <row r="11" ht="24.0" customHeight="1">
      <c r="A11" s="3"/>
      <c r="B11" s="10" t="s">
        <v>28</v>
      </c>
      <c r="C11" s="5"/>
      <c r="D11" s="5"/>
      <c r="E11" s="5"/>
      <c r="F11" s="5"/>
      <c r="G11" s="5"/>
      <c r="H11" s="5"/>
      <c r="I11" s="5"/>
      <c r="J11" s="5"/>
      <c r="K11" s="5"/>
      <c r="L11" s="5"/>
      <c r="M11" s="5"/>
      <c r="N11" s="5"/>
      <c r="O11" s="5"/>
      <c r="P11" s="5"/>
      <c r="Q11" s="5"/>
      <c r="R11" s="5"/>
      <c r="S11" s="5"/>
      <c r="T11" s="5"/>
      <c r="U11" s="6"/>
      <c r="V11" s="1"/>
    </row>
    <row r="12" ht="24.0" customHeight="1">
      <c r="A12" s="3"/>
      <c r="B12" s="11" t="s">
        <v>2</v>
      </c>
      <c r="C12" s="11" t="s">
        <v>3</v>
      </c>
      <c r="D12" s="12" t="s">
        <v>4</v>
      </c>
      <c r="E12" s="12" t="s">
        <v>5</v>
      </c>
      <c r="F12" s="11" t="s">
        <v>6</v>
      </c>
      <c r="G12" s="13" t="s">
        <v>7</v>
      </c>
      <c r="H12" s="13" t="s">
        <v>8</v>
      </c>
      <c r="I12" s="13" t="s">
        <v>9</v>
      </c>
      <c r="J12" s="13" t="s">
        <v>10</v>
      </c>
      <c r="K12" s="11" t="s">
        <v>11</v>
      </c>
      <c r="L12" s="12" t="s">
        <v>12</v>
      </c>
      <c r="M12" s="12" t="s">
        <v>13</v>
      </c>
      <c r="N12" s="12" t="s">
        <v>14</v>
      </c>
      <c r="O12" s="12" t="s">
        <v>15</v>
      </c>
      <c r="P12" s="12" t="s">
        <v>16</v>
      </c>
      <c r="Q12" s="13" t="s">
        <v>17</v>
      </c>
      <c r="R12" s="11" t="s">
        <v>18</v>
      </c>
      <c r="S12" s="11" t="s">
        <v>19</v>
      </c>
      <c r="T12" s="13" t="s">
        <v>20</v>
      </c>
      <c r="U12" s="11" t="s">
        <v>21</v>
      </c>
      <c r="V12" s="1"/>
    </row>
    <row r="13" ht="24.0" customHeight="1">
      <c r="A13" s="1"/>
      <c r="B13" s="14" t="str">
        <f>HYPERLINK("https://www.compass.com/listing/112-01-dillon-street-queens-ny-11433/622502832865963417/view?agent_id=610d3f3370540700019b0833","112-01 Dillon St")</f>
        <v>112-01 Dillon St</v>
      </c>
      <c r="C13" s="15" t="s">
        <v>29</v>
      </c>
      <c r="D13" s="16" t="s">
        <v>23</v>
      </c>
      <c r="E13" s="17" t="str">
        <f t="shared" ref="E13:E14" si="3">HYPERLINK("https://www.compass.com/building/112-01-dillon-st-queens-ny-11433/293417995399705253/","112-01 Dillon St")</f>
        <v>112-01 Dillon St</v>
      </c>
      <c r="F13" s="15" t="s">
        <v>24</v>
      </c>
      <c r="G13" s="18">
        <v>385000.0</v>
      </c>
      <c r="H13" s="18">
        <v>143.0</v>
      </c>
      <c r="I13" s="18">
        <v>264.0</v>
      </c>
      <c r="J13" s="18">
        <v>3166.0</v>
      </c>
      <c r="K13" s="15" t="s">
        <v>30</v>
      </c>
      <c r="L13" s="16">
        <v>7.0</v>
      </c>
      <c r="M13" s="16">
        <v>4.0</v>
      </c>
      <c r="N13" s="16">
        <v>1.0</v>
      </c>
      <c r="O13" s="19"/>
      <c r="P13" s="20">
        <v>2700.0</v>
      </c>
      <c r="Q13" s="21">
        <v>456.0</v>
      </c>
      <c r="R13" s="22">
        <v>45597.0</v>
      </c>
      <c r="S13" s="22">
        <v>44110.0</v>
      </c>
      <c r="T13" s="18">
        <v>385000.0</v>
      </c>
      <c r="U13" s="22">
        <v>44658.0</v>
      </c>
      <c r="V13" s="1"/>
    </row>
    <row r="14" ht="24.0" customHeight="1">
      <c r="A14" s="1"/>
      <c r="B14" s="37" t="str">
        <f>HYPERLINK("https://www.compass.com/listing/112-01-dillon-street-queens-ny-11433/1730613492546654249/view?agent_id=610d3f3370540700019b0833","112-01 Dillon St")</f>
        <v>112-01 Dillon St</v>
      </c>
      <c r="C14" s="38" t="s">
        <v>29</v>
      </c>
      <c r="D14" s="39" t="s">
        <v>23</v>
      </c>
      <c r="E14" s="40" t="str">
        <f t="shared" si="3"/>
        <v>112-01 Dillon St</v>
      </c>
      <c r="F14" s="38" t="s">
        <v>24</v>
      </c>
      <c r="G14" s="41">
        <v>385000.0</v>
      </c>
      <c r="H14" s="42"/>
      <c r="I14" s="41">
        <v>264.0</v>
      </c>
      <c r="J14" s="41">
        <v>3166.0</v>
      </c>
      <c r="K14" s="38" t="s">
        <v>30</v>
      </c>
      <c r="L14" s="39">
        <v>7.0</v>
      </c>
      <c r="M14" s="39">
        <v>4.0</v>
      </c>
      <c r="N14" s="39">
        <v>1.0</v>
      </c>
      <c r="O14" s="43"/>
      <c r="P14" s="43"/>
      <c r="Q14" s="44">
        <v>514.0</v>
      </c>
      <c r="R14" s="45">
        <v>45628.0</v>
      </c>
      <c r="S14" s="45">
        <v>44110.0</v>
      </c>
      <c r="T14" s="41">
        <v>385000.0</v>
      </c>
      <c r="U14" s="45">
        <v>44658.0</v>
      </c>
      <c r="V14" s="1"/>
    </row>
    <row r="15" ht="24.0" customHeight="1">
      <c r="A15" s="1"/>
      <c r="B15" s="37" t="str">
        <f>HYPERLINK("https://www.compass.com/listing/106-49-guy-r-brewer-boulevard-queens-ny-11433/1730694943623088169/view?agent_id=610d3f3370540700019b0833","106-49 Guy R Brewer Blvd")</f>
        <v>106-49 Guy R Brewer Blvd</v>
      </c>
      <c r="C15" s="38" t="s">
        <v>29</v>
      </c>
      <c r="D15" s="39" t="s">
        <v>23</v>
      </c>
      <c r="E15" s="40" t="str">
        <f>HYPERLINK("https://www.compass.com/building/106-49-guy-r-brewer-blvd-queens-ny-11433/293534411184410757/","106-49 Guy R Brewer Blvd")</f>
        <v>106-49 Guy R Brewer Blvd</v>
      </c>
      <c r="F15" s="38" t="s">
        <v>24</v>
      </c>
      <c r="G15" s="41">
        <v>155100.0</v>
      </c>
      <c r="H15" s="42"/>
      <c r="I15" s="41">
        <v>145.0</v>
      </c>
      <c r="J15" s="41">
        <v>1740.0</v>
      </c>
      <c r="K15" s="38" t="s">
        <v>31</v>
      </c>
      <c r="L15" s="39">
        <v>8.0</v>
      </c>
      <c r="M15" s="39">
        <v>4.0</v>
      </c>
      <c r="N15" s="39">
        <v>1.0</v>
      </c>
      <c r="O15" s="43"/>
      <c r="P15" s="43"/>
      <c r="Q15" s="44">
        <v>25.0</v>
      </c>
      <c r="R15" s="45">
        <v>45617.0</v>
      </c>
      <c r="S15" s="45">
        <v>41207.0</v>
      </c>
      <c r="T15" s="41">
        <v>155100.0</v>
      </c>
      <c r="U15" s="45">
        <v>41360.0</v>
      </c>
      <c r="V15" s="1"/>
    </row>
    <row r="16" ht="24.0" customHeight="1">
      <c r="A16" s="1"/>
      <c r="B16" s="37" t="str">
        <f>HYPERLINK("https://www.compass.com/listing/112-01-dillon-street-queens-ny-11433/497113821157209121/view?agent_id=610d3f3370540700019b0833","112-01 Dillon St")</f>
        <v>112-01 Dillon St</v>
      </c>
      <c r="C16" s="38" t="s">
        <v>29</v>
      </c>
      <c r="D16" s="39" t="s">
        <v>23</v>
      </c>
      <c r="E16" s="40" t="str">
        <f t="shared" ref="E16:E17" si="4">HYPERLINK("https://www.compass.com/building/112-01-dillon-st-queens-ny-11433/293417995399705253/","112-01 Dillon St")</f>
        <v>112-01 Dillon St</v>
      </c>
      <c r="F16" s="38" t="s">
        <v>24</v>
      </c>
      <c r="G16" s="41">
        <v>304200.0</v>
      </c>
      <c r="H16" s="42"/>
      <c r="I16" s="41">
        <v>263.0</v>
      </c>
      <c r="J16" s="41">
        <v>3153.0</v>
      </c>
      <c r="K16" s="38" t="s">
        <v>30</v>
      </c>
      <c r="L16" s="39">
        <v>7.0</v>
      </c>
      <c r="M16" s="39">
        <v>4.0</v>
      </c>
      <c r="N16" s="39">
        <v>1.0</v>
      </c>
      <c r="O16" s="43"/>
      <c r="P16" s="43"/>
      <c r="Q16" s="44">
        <v>82.0</v>
      </c>
      <c r="R16" s="45">
        <v>45628.0</v>
      </c>
      <c r="S16" s="45">
        <v>43937.0</v>
      </c>
      <c r="T16" s="41">
        <v>304200.0</v>
      </c>
      <c r="U16" s="45">
        <v>44042.0</v>
      </c>
      <c r="V16" s="1"/>
    </row>
    <row r="17" ht="24.0" customHeight="1">
      <c r="A17" s="1"/>
      <c r="B17" s="37" t="str">
        <f>HYPERLINK("https://www.compass.com/listing/112-01-dillon-street-queens-ny-11433/1709576419916062969/view?agent_id=610d3f3370540700019b0833","112-01 Dillon St")</f>
        <v>112-01 Dillon St</v>
      </c>
      <c r="C17" s="38" t="s">
        <v>29</v>
      </c>
      <c r="D17" s="39" t="s">
        <v>23</v>
      </c>
      <c r="E17" s="40" t="str">
        <f t="shared" si="4"/>
        <v>112-01 Dillon St</v>
      </c>
      <c r="F17" s="38" t="s">
        <v>24</v>
      </c>
      <c r="G17" s="41">
        <v>385000.0</v>
      </c>
      <c r="H17" s="42"/>
      <c r="I17" s="41">
        <v>260.0</v>
      </c>
      <c r="J17" s="41">
        <v>3117.0</v>
      </c>
      <c r="K17" s="38" t="s">
        <v>30</v>
      </c>
      <c r="L17" s="39">
        <v>7.0</v>
      </c>
      <c r="M17" s="39">
        <v>4.0</v>
      </c>
      <c r="N17" s="39">
        <v>1.0</v>
      </c>
      <c r="O17" s="43"/>
      <c r="P17" s="43"/>
      <c r="Q17" s="44">
        <v>451.0</v>
      </c>
      <c r="R17" s="45">
        <v>45597.0</v>
      </c>
      <c r="S17" s="45">
        <v>44110.0</v>
      </c>
      <c r="T17" s="41">
        <v>385000.0</v>
      </c>
      <c r="U17" s="45">
        <v>44658.0</v>
      </c>
      <c r="V17" s="1"/>
    </row>
    <row r="18" ht="24.0" customHeight="1">
      <c r="A18" s="1"/>
      <c r="B18" s="37" t="str">
        <f>HYPERLINK("https://www.compass.com/listing/111-06-174th-street-queens-ny-11433/31103368638364529/view?agent_id=610d3f3370540700019b0833","111-06 174th St")</f>
        <v>111-06 174th St</v>
      </c>
      <c r="C18" s="38" t="s">
        <v>29</v>
      </c>
      <c r="D18" s="39" t="s">
        <v>23</v>
      </c>
      <c r="E18" s="40" t="str">
        <f>HYPERLINK("https://www.compass.com/building/111-06-174th-st-queens-ny-11433/293531229192457861/","111-06 174th St")</f>
        <v>111-06 174th St</v>
      </c>
      <c r="F18" s="38" t="s">
        <v>24</v>
      </c>
      <c r="G18" s="41">
        <v>354900.0</v>
      </c>
      <c r="H18" s="42"/>
      <c r="I18" s="41">
        <v>344.0</v>
      </c>
      <c r="J18" s="41">
        <v>4131.0</v>
      </c>
      <c r="K18" s="38" t="s">
        <v>30</v>
      </c>
      <c r="L18" s="39">
        <v>7.0</v>
      </c>
      <c r="M18" s="39">
        <v>4.0</v>
      </c>
      <c r="N18" s="39">
        <v>1.0</v>
      </c>
      <c r="O18" s="43"/>
      <c r="P18" s="43"/>
      <c r="Q18" s="44">
        <v>14.0</v>
      </c>
      <c r="R18" s="45">
        <v>45617.0</v>
      </c>
      <c r="S18" s="45">
        <v>43194.0</v>
      </c>
      <c r="T18" s="41">
        <v>354900.0</v>
      </c>
      <c r="U18" s="45">
        <v>43277.0</v>
      </c>
      <c r="V18" s="1"/>
    </row>
    <row r="19" ht="24.0" customHeight="1">
      <c r="A19" s="1"/>
      <c r="B19" s="37" t="str">
        <f>HYPERLINK("https://www.compass.com/listing/111-35-166th-street-queens-ny-11433/29131291286843969/view?agent_id=610d3f3370540700019b0833","111-35 166th St")</f>
        <v>111-35 166th St</v>
      </c>
      <c r="C19" s="38" t="s">
        <v>29</v>
      </c>
      <c r="D19" s="39" t="s">
        <v>23</v>
      </c>
      <c r="E19" s="40" t="str">
        <f>HYPERLINK("https://www.compass.com/building/111-35-166th-st-queens-ny-11433/293528637993475685/","111-35 166th St")</f>
        <v>111-35 166th St</v>
      </c>
      <c r="F19" s="38" t="s">
        <v>24</v>
      </c>
      <c r="G19" s="41">
        <v>325000.0</v>
      </c>
      <c r="H19" s="42"/>
      <c r="I19" s="41">
        <v>175.0</v>
      </c>
      <c r="J19" s="41">
        <v>2100.0</v>
      </c>
      <c r="K19" s="38" t="s">
        <v>30</v>
      </c>
      <c r="L19" s="39">
        <v>6.0</v>
      </c>
      <c r="M19" s="39">
        <v>4.0</v>
      </c>
      <c r="N19" s="39">
        <v>1.0</v>
      </c>
      <c r="O19" s="39">
        <v>0.0</v>
      </c>
      <c r="P19" s="43"/>
      <c r="Q19" s="44">
        <v>224.0</v>
      </c>
      <c r="R19" s="45">
        <v>45616.0</v>
      </c>
      <c r="S19" s="45">
        <v>42209.0</v>
      </c>
      <c r="T19" s="41">
        <v>325000.0</v>
      </c>
      <c r="U19" s="45">
        <v>42506.0</v>
      </c>
      <c r="V19" s="1"/>
    </row>
    <row r="20" ht="24.0" customHeight="1">
      <c r="A20" s="1"/>
      <c r="B20" s="37" t="str">
        <f>HYPERLINK("https://www.compass.com/listing/111-45-166th-street-queens-ny-11433/210824495496203937/view?agent_id=610d3f3370540700019b0833","111-45 166th St")</f>
        <v>111-45 166th St</v>
      </c>
      <c r="C20" s="38" t="s">
        <v>29</v>
      </c>
      <c r="D20" s="39" t="s">
        <v>23</v>
      </c>
      <c r="E20" s="40" t="str">
        <f>HYPERLINK("https://www.compass.com/building/111-45-166th-st-queens-ny-11433/293526624433916325/","111-45 166th St")</f>
        <v>111-45 166th St</v>
      </c>
      <c r="F20" s="38" t="s">
        <v>24</v>
      </c>
      <c r="G20" s="41">
        <v>137500.0</v>
      </c>
      <c r="H20" s="41">
        <v>159.0</v>
      </c>
      <c r="I20" s="41">
        <v>112.0</v>
      </c>
      <c r="J20" s="41">
        <v>1343.0</v>
      </c>
      <c r="K20" s="38" t="s">
        <v>30</v>
      </c>
      <c r="L20" s="39">
        <v>7.0</v>
      </c>
      <c r="M20" s="39">
        <v>4.0</v>
      </c>
      <c r="N20" s="39">
        <v>1.0</v>
      </c>
      <c r="O20" s="43"/>
      <c r="P20" s="39">
        <v>865.0</v>
      </c>
      <c r="Q20" s="44">
        <v>315.0</v>
      </c>
      <c r="R20" s="45">
        <v>40052.0</v>
      </c>
      <c r="S20" s="45">
        <v>39736.0</v>
      </c>
      <c r="T20" s="41">
        <v>137500.0</v>
      </c>
      <c r="U20" s="45">
        <v>40051.0</v>
      </c>
      <c r="V20" s="1"/>
    </row>
    <row r="21" ht="24.0" customHeight="1">
      <c r="A21" s="1"/>
      <c r="B21" s="37" t="str">
        <f>HYPERLINK("https://www.compass.com/listing/109-29-176th-street-queens-ny-11433/1556328656312660097/view?agent_id=610d3f3370540700019b0833","109-29 176th St")</f>
        <v>109-29 176th St</v>
      </c>
      <c r="C21" s="38" t="s">
        <v>29</v>
      </c>
      <c r="D21" s="39" t="s">
        <v>23</v>
      </c>
      <c r="E21" s="40" t="str">
        <f>HYPERLINK("https://www.compass.com/building/109-29-176th-st-queens-ny-11433/293528685414295989/","109-29 176th St")</f>
        <v>109-29 176th St</v>
      </c>
      <c r="F21" s="38" t="s">
        <v>24</v>
      </c>
      <c r="G21" s="41">
        <v>349500.0</v>
      </c>
      <c r="H21" s="42"/>
      <c r="I21" s="41">
        <v>209.0</v>
      </c>
      <c r="J21" s="41">
        <v>2506.0</v>
      </c>
      <c r="K21" s="38" t="s">
        <v>30</v>
      </c>
      <c r="L21" s="39">
        <v>5.0</v>
      </c>
      <c r="M21" s="39">
        <v>4.0</v>
      </c>
      <c r="N21" s="39">
        <v>1.0</v>
      </c>
      <c r="O21" s="43"/>
      <c r="P21" s="43"/>
      <c r="Q21" s="44">
        <v>117.0</v>
      </c>
      <c r="R21" s="45">
        <v>45624.0</v>
      </c>
      <c r="S21" s="45">
        <v>41976.0</v>
      </c>
      <c r="T21" s="41">
        <v>349500.0</v>
      </c>
      <c r="U21" s="45">
        <v>42268.0</v>
      </c>
      <c r="V21" s="1"/>
    </row>
    <row r="22" ht="24.0" customHeight="1">
      <c r="A22" s="1"/>
      <c r="B22" s="37" t="str">
        <f>HYPERLINK("https://www.compass.com/listing/105-18-171st-place-queens-ny-11433/304476133571203377/view?agent_id=610d3f3370540700019b0833","105-18 171st Pl")</f>
        <v>105-18 171st Pl</v>
      </c>
      <c r="C22" s="38" t="s">
        <v>29</v>
      </c>
      <c r="D22" s="39" t="s">
        <v>23</v>
      </c>
      <c r="E22" s="40" t="str">
        <f>HYPERLINK("https://www.compass.com/building/105-18-171st-pl-queens-ny-11433/293532421624800981/","105-18 171st Pl")</f>
        <v>105-18 171st Pl</v>
      </c>
      <c r="F22" s="38" t="s">
        <v>24</v>
      </c>
      <c r="G22" s="41">
        <v>475000.0</v>
      </c>
      <c r="H22" s="41">
        <v>341.0</v>
      </c>
      <c r="I22" s="41">
        <v>233.0</v>
      </c>
      <c r="J22" s="41">
        <v>2790.0</v>
      </c>
      <c r="K22" s="38" t="s">
        <v>31</v>
      </c>
      <c r="L22" s="39">
        <v>9.0</v>
      </c>
      <c r="M22" s="39">
        <v>4.0</v>
      </c>
      <c r="N22" s="39">
        <v>1.0</v>
      </c>
      <c r="O22" s="43"/>
      <c r="P22" s="46">
        <v>1395.0</v>
      </c>
      <c r="Q22" s="44">
        <v>68.0</v>
      </c>
      <c r="R22" s="45">
        <v>45617.0</v>
      </c>
      <c r="S22" s="45">
        <v>43671.0</v>
      </c>
      <c r="T22" s="41">
        <v>475000.0</v>
      </c>
      <c r="U22" s="45">
        <v>43838.0</v>
      </c>
      <c r="V22" s="1"/>
    </row>
    <row r="23" ht="24.0" customHeight="1">
      <c r="A23" s="1"/>
      <c r="B23" s="37" t="str">
        <f>HYPERLINK("https://www.compass.com/listing/159-10-brinkerhoff-avenue-queens-ny-11433/669382097897716193/view?agent_id=610d3f3370540700019b0833","159-10 Brinkerhoff Ave")</f>
        <v>159-10 Brinkerhoff Ave</v>
      </c>
      <c r="C23" s="38" t="s">
        <v>29</v>
      </c>
      <c r="D23" s="39" t="s">
        <v>23</v>
      </c>
      <c r="E23" s="40" t="str">
        <f>HYPERLINK("https://www.compass.com/building/159-10-brinkerhoff-ave-queens-ny-11433/293532481703903605/","159-10 Brinkerhoff Ave")</f>
        <v>159-10 Brinkerhoff Ave</v>
      </c>
      <c r="F23" s="38" t="s">
        <v>24</v>
      </c>
      <c r="G23" s="41">
        <v>325000.0</v>
      </c>
      <c r="H23" s="41">
        <v>186.0</v>
      </c>
      <c r="I23" s="41">
        <v>0.0</v>
      </c>
      <c r="J23" s="41">
        <v>0.0</v>
      </c>
      <c r="K23" s="38" t="s">
        <v>32</v>
      </c>
      <c r="L23" s="39">
        <v>15.0</v>
      </c>
      <c r="M23" s="39">
        <v>4.0</v>
      </c>
      <c r="N23" s="43"/>
      <c r="O23" s="43"/>
      <c r="P23" s="46">
        <v>1750.0</v>
      </c>
      <c r="Q23" s="44">
        <v>12.0</v>
      </c>
      <c r="R23" s="45">
        <v>44246.0</v>
      </c>
      <c r="S23" s="45">
        <v>44175.0</v>
      </c>
      <c r="T23" s="41">
        <v>325000.0</v>
      </c>
      <c r="U23" s="45">
        <v>44188.0</v>
      </c>
      <c r="V23" s="1"/>
    </row>
    <row r="24" ht="24.0" customHeight="1">
      <c r="A24" s="1"/>
      <c r="B24" s="37" t="str">
        <f>HYPERLINK("https://www.compass.com/listing/167-36-109th-road-queens-ny-11433/1537445395056152761/view?agent_id=610d3f3370540700019b0833","167-36 109th Rd")</f>
        <v>167-36 109th Rd</v>
      </c>
      <c r="C24" s="38" t="s">
        <v>29</v>
      </c>
      <c r="D24" s="39" t="s">
        <v>23</v>
      </c>
      <c r="E24" s="40" t="str">
        <f>HYPERLINK("https://www.compass.com/building/167-36-109th-rd-queens-ny-11433/293531981516432837/","167-36 109th Rd")</f>
        <v>167-36 109th Rd</v>
      </c>
      <c r="F24" s="38" t="s">
        <v>24</v>
      </c>
      <c r="G24" s="41">
        <v>750000.0</v>
      </c>
      <c r="H24" s="42"/>
      <c r="I24" s="41">
        <v>0.0</v>
      </c>
      <c r="J24" s="41">
        <v>0.0</v>
      </c>
      <c r="K24" s="38" t="s">
        <v>30</v>
      </c>
      <c r="L24" s="39">
        <v>12.0</v>
      </c>
      <c r="M24" s="39">
        <v>4.0</v>
      </c>
      <c r="N24" s="43"/>
      <c r="O24" s="39">
        <v>0.0</v>
      </c>
      <c r="P24" s="43"/>
      <c r="Q24" s="44">
        <v>76.0</v>
      </c>
      <c r="R24" s="45">
        <v>45373.0</v>
      </c>
      <c r="S24" s="45">
        <v>45372.0</v>
      </c>
      <c r="T24" s="41">
        <v>750000.0</v>
      </c>
      <c r="U24" s="45">
        <v>45449.0</v>
      </c>
      <c r="V24" s="1"/>
    </row>
    <row r="25" ht="24.0" customHeight="1">
      <c r="A25" s="1"/>
      <c r="B25" s="37" t="str">
        <f>HYPERLINK("https://www.compass.com/listing/173-63-103rd-road-queens-ny-11433/29131488192754225/view?agent_id=610d3f3370540700019b0833","173-63 103rd Rd")</f>
        <v>173-63 103rd Rd</v>
      </c>
      <c r="C25" s="38" t="s">
        <v>29</v>
      </c>
      <c r="D25" s="39" t="s">
        <v>23</v>
      </c>
      <c r="E25" s="40" t="str">
        <f>HYPERLINK("https://www.compass.com/building/173-63-103rd-rd-queens-ny-11433/293531588837272965/","173-63 103rd Rd")</f>
        <v>173-63 103rd Rd</v>
      </c>
      <c r="F25" s="38" t="s">
        <v>24</v>
      </c>
      <c r="G25" s="41">
        <v>659000.0</v>
      </c>
      <c r="H25" s="42"/>
      <c r="I25" s="41">
        <v>0.0</v>
      </c>
      <c r="J25" s="41">
        <v>0.0</v>
      </c>
      <c r="K25" s="38" t="s">
        <v>33</v>
      </c>
      <c r="L25" s="39">
        <v>12.0</v>
      </c>
      <c r="M25" s="39">
        <v>4.0</v>
      </c>
      <c r="N25" s="43"/>
      <c r="O25" s="43"/>
      <c r="P25" s="43"/>
      <c r="Q25" s="44">
        <v>18.0</v>
      </c>
      <c r="R25" s="45">
        <v>44719.0</v>
      </c>
      <c r="S25" s="45">
        <v>43349.0</v>
      </c>
      <c r="T25" s="41">
        <v>659000.0</v>
      </c>
      <c r="U25" s="45">
        <v>43368.0</v>
      </c>
      <c r="V25" s="1"/>
    </row>
    <row r="26" ht="24.0" customHeight="1">
      <c r="A26" s="1"/>
      <c r="B26" s="37" t="str">
        <f>HYPERLINK("https://www.compass.com/listing/168-05-111th-avenue-queens-ny-11433/982793956950480401/view?agent_id=610d3f3370540700019b0833","168-05 111th Ave")</f>
        <v>168-05 111th Ave</v>
      </c>
      <c r="C26" s="38" t="s">
        <v>29</v>
      </c>
      <c r="D26" s="39" t="s">
        <v>23</v>
      </c>
      <c r="E26" s="40" t="str">
        <f>HYPERLINK("https://www.compass.com/building/168-05-111th-ave-queens-ny-11433/293529195106077669/","168-05 111th Ave")</f>
        <v>168-05 111th Ave</v>
      </c>
      <c r="F26" s="38" t="s">
        <v>24</v>
      </c>
      <c r="G26" s="41">
        <v>670000.0</v>
      </c>
      <c r="H26" s="41">
        <v>515.0</v>
      </c>
      <c r="I26" s="41">
        <v>313.0</v>
      </c>
      <c r="J26" s="41">
        <v>3759.0</v>
      </c>
      <c r="K26" s="38" t="s">
        <v>30</v>
      </c>
      <c r="L26" s="39">
        <v>7.0</v>
      </c>
      <c r="M26" s="39">
        <v>4.0</v>
      </c>
      <c r="N26" s="39">
        <v>1.0</v>
      </c>
      <c r="O26" s="43"/>
      <c r="P26" s="46">
        <v>1302.0</v>
      </c>
      <c r="Q26" s="44">
        <v>22.0</v>
      </c>
      <c r="R26" s="45">
        <v>45617.0</v>
      </c>
      <c r="S26" s="45">
        <v>44607.0</v>
      </c>
      <c r="T26" s="41">
        <v>670000.0</v>
      </c>
      <c r="U26" s="45">
        <v>44685.0</v>
      </c>
      <c r="V26" s="1"/>
    </row>
    <row r="27" ht="24.0" customHeight="1">
      <c r="A27" s="1"/>
      <c r="B27" s="37" t="str">
        <f>HYPERLINK("https://www.compass.com/listing/171-43-108th-avenue-queens-ny-11433/604817466046638345/view?agent_id=610d3f3370540700019b0833","171-43 108th Ave")</f>
        <v>171-43 108th Ave</v>
      </c>
      <c r="C27" s="38" t="s">
        <v>29</v>
      </c>
      <c r="D27" s="39" t="s">
        <v>23</v>
      </c>
      <c r="E27" s="40" t="str">
        <f>HYPERLINK("https://www.compass.com/building/171-43-108th-ave-queens-ny-11433/293528533311989333/","171-43 108th Ave")</f>
        <v>171-43 108th Ave</v>
      </c>
      <c r="F27" s="38" t="s">
        <v>24</v>
      </c>
      <c r="G27" s="41">
        <v>630000.0</v>
      </c>
      <c r="H27" s="41">
        <v>465.0</v>
      </c>
      <c r="I27" s="41">
        <v>320.0</v>
      </c>
      <c r="J27" s="41">
        <v>3840.0</v>
      </c>
      <c r="K27" s="38" t="s">
        <v>30</v>
      </c>
      <c r="L27" s="39">
        <v>10.0</v>
      </c>
      <c r="M27" s="39">
        <v>4.0</v>
      </c>
      <c r="N27" s="43"/>
      <c r="O27" s="43"/>
      <c r="P27" s="46">
        <v>1356.0</v>
      </c>
      <c r="Q27" s="44">
        <v>26.0</v>
      </c>
      <c r="R27" s="45">
        <v>44246.0</v>
      </c>
      <c r="S27" s="45">
        <v>44085.0</v>
      </c>
      <c r="T27" s="41">
        <v>630000.0</v>
      </c>
      <c r="U27" s="45">
        <v>44176.0</v>
      </c>
      <c r="V27" s="1"/>
    </row>
    <row r="28" ht="24.0" customHeight="1">
      <c r="A28" s="1"/>
      <c r="B28" s="37" t="str">
        <f>HYPERLINK("https://www.compass.com/listing/166-08-90th-avenue-queens-ny-11432/1730604883980523817/view?agent_id=610d3f3370540700019b0833","166-08 90th Ave")</f>
        <v>166-08 90th Ave</v>
      </c>
      <c r="C28" s="38" t="s">
        <v>29</v>
      </c>
      <c r="D28" s="39" t="s">
        <v>23</v>
      </c>
      <c r="E28" s="40" t="str">
        <f>HYPERLINK("https://www.compass.com/building/166-08-90th-ave-queens-ny-11432/293533766108845205/","166-08 90th Ave")</f>
        <v>166-08 90th Ave</v>
      </c>
      <c r="F28" s="38" t="s">
        <v>24</v>
      </c>
      <c r="G28" s="41">
        <v>195000.0</v>
      </c>
      <c r="H28" s="41">
        <v>157.0</v>
      </c>
      <c r="I28" s="41">
        <v>181.0</v>
      </c>
      <c r="J28" s="41">
        <v>2176.0</v>
      </c>
      <c r="K28" s="38" t="s">
        <v>25</v>
      </c>
      <c r="L28" s="39">
        <v>8.0</v>
      </c>
      <c r="M28" s="39">
        <v>4.0</v>
      </c>
      <c r="N28" s="39">
        <v>1.0</v>
      </c>
      <c r="O28" s="43"/>
      <c r="P28" s="46">
        <v>1240.0</v>
      </c>
      <c r="Q28" s="44">
        <v>57.0</v>
      </c>
      <c r="R28" s="45">
        <v>45616.0</v>
      </c>
      <c r="S28" s="45">
        <v>42124.0</v>
      </c>
      <c r="T28" s="41">
        <v>195000.0</v>
      </c>
      <c r="U28" s="45">
        <v>42272.0</v>
      </c>
      <c r="V28" s="1"/>
    </row>
    <row r="29" ht="24.0" customHeight="1">
      <c r="A29" s="1"/>
      <c r="B29" s="37" t="str">
        <f>HYPERLINK("https://www.compass.com/listing/170-02-89th-avenue-queens-ny-11432/898325242857742937/view?agent_id=610d3f3370540700019b0833","170-02 89th Ave")</f>
        <v>170-02 89th Ave</v>
      </c>
      <c r="C29" s="38" t="s">
        <v>29</v>
      </c>
      <c r="D29" s="39" t="s">
        <v>23</v>
      </c>
      <c r="E29" s="40" t="str">
        <f>HYPERLINK("https://www.compass.com/building/170-02-89th-ave-queens-ny-11432/293529986571191845/","170-02 89th Ave")</f>
        <v>170-02 89th Ave</v>
      </c>
      <c r="F29" s="38" t="s">
        <v>24</v>
      </c>
      <c r="G29" s="41">
        <v>710000.0</v>
      </c>
      <c r="H29" s="42"/>
      <c r="I29" s="41">
        <v>357.0</v>
      </c>
      <c r="J29" s="41">
        <v>4280.0</v>
      </c>
      <c r="K29" s="38" t="s">
        <v>30</v>
      </c>
      <c r="L29" s="39">
        <v>7.0</v>
      </c>
      <c r="M29" s="39">
        <v>4.0</v>
      </c>
      <c r="N29" s="39">
        <v>1.0</v>
      </c>
      <c r="O29" s="43"/>
      <c r="P29" s="43"/>
      <c r="Q29" s="44">
        <v>19.0</v>
      </c>
      <c r="R29" s="45">
        <v>45617.0</v>
      </c>
      <c r="S29" s="45">
        <v>44491.0</v>
      </c>
      <c r="T29" s="41">
        <v>710000.0</v>
      </c>
      <c r="U29" s="45">
        <v>44742.0</v>
      </c>
      <c r="V29" s="1"/>
    </row>
    <row r="30" ht="24.0" customHeight="1">
      <c r="A30" s="1"/>
      <c r="B30" s="37" t="str">
        <f>HYPERLINK("https://www.compass.com/listing/108-33-union-hall-street-queens-ny-11433/129220005219816385/view?agent_id=610d3f3370540700019b0833","108-33 Union Hall Street")</f>
        <v>108-33 Union Hall Street</v>
      </c>
      <c r="C30" s="38" t="s">
        <v>29</v>
      </c>
      <c r="D30" s="39" t="s">
        <v>23</v>
      </c>
      <c r="E30" s="40" t="str">
        <f>HYPERLINK("https://www.compass.com/building/108-33-union-hall-st-queens-ny-11433/293418393715872085/","108-33 Union Hall St")</f>
        <v>108-33 Union Hall St</v>
      </c>
      <c r="F30" s="38" t="s">
        <v>34</v>
      </c>
      <c r="G30" s="41">
        <v>535000.0</v>
      </c>
      <c r="H30" s="42"/>
      <c r="I30" s="41">
        <v>0.0</v>
      </c>
      <c r="J30" s="41">
        <v>0.0</v>
      </c>
      <c r="K30" s="38" t="s">
        <v>30</v>
      </c>
      <c r="L30" s="39">
        <v>8.0</v>
      </c>
      <c r="M30" s="39">
        <v>4.0</v>
      </c>
      <c r="N30" s="43"/>
      <c r="O30" s="43"/>
      <c r="P30" s="43"/>
      <c r="Q30" s="44">
        <v>135.0</v>
      </c>
      <c r="R30" s="45">
        <v>43602.0</v>
      </c>
      <c r="S30" s="45">
        <v>43430.0</v>
      </c>
      <c r="T30" s="41">
        <v>535000.0</v>
      </c>
      <c r="U30" s="45">
        <v>43641.0</v>
      </c>
      <c r="V30" s="1"/>
    </row>
    <row r="31" ht="24.0" customHeight="1">
      <c r="A31" s="1"/>
      <c r="B31" s="37" t="str">
        <f>HYPERLINK("https://www.compass.com/listing/142-07-linden-boulevard-queens-ny-11436/4860582173717037761/view?agent_id=610d3f3370540700019b0833","142-07 Linden Boulevard")</f>
        <v>142-07 Linden Boulevard</v>
      </c>
      <c r="C31" s="38" t="s">
        <v>29</v>
      </c>
      <c r="D31" s="39" t="s">
        <v>23</v>
      </c>
      <c r="E31" s="40" t="str">
        <f>HYPERLINK("https://www.compass.com/building/142-07-linden-blvd-queens-ny-11436/293529333602057445/","142-07 Linden Blvd")</f>
        <v>142-07 Linden Blvd</v>
      </c>
      <c r="F31" s="38" t="s">
        <v>24</v>
      </c>
      <c r="G31" s="41">
        <v>550000.0</v>
      </c>
      <c r="H31" s="41">
        <v>465.0</v>
      </c>
      <c r="I31" s="41">
        <v>0.0</v>
      </c>
      <c r="J31" s="41">
        <v>0.0</v>
      </c>
      <c r="K31" s="38" t="s">
        <v>30</v>
      </c>
      <c r="L31" s="39">
        <v>8.0</v>
      </c>
      <c r="M31" s="39">
        <v>4.0</v>
      </c>
      <c r="N31" s="43"/>
      <c r="O31" s="43"/>
      <c r="P31" s="46">
        <v>1182.0</v>
      </c>
      <c r="Q31" s="44">
        <v>23.0</v>
      </c>
      <c r="R31" s="45">
        <v>44247.0</v>
      </c>
      <c r="S31" s="45">
        <v>43206.0</v>
      </c>
      <c r="T31" s="41">
        <v>550000.0</v>
      </c>
      <c r="U31" s="45">
        <v>43286.0</v>
      </c>
      <c r="V31" s="1"/>
    </row>
    <row r="32" ht="24.0" customHeight="1">
      <c r="A32" s="1"/>
      <c r="B32" s="37" t="str">
        <f>HYPERLINK("https://www.compass.com/listing/91-13-181st-street-queens-ny-11423/87544673475879441/view?agent_id=610d3f3370540700019b0833","91-13 181st Street")</f>
        <v>91-13 181st Street</v>
      </c>
      <c r="C32" s="38" t="s">
        <v>29</v>
      </c>
      <c r="D32" s="39" t="s">
        <v>23</v>
      </c>
      <c r="E32" s="40" t="str">
        <f>HYPERLINK("https://www.compass.com/building/91-13-181st-st-queens-ny-11423/293417545342455253/","91-13 181st St")</f>
        <v>91-13 181st St</v>
      </c>
      <c r="F32" s="38" t="s">
        <v>24</v>
      </c>
      <c r="G32" s="41">
        <v>620000.0</v>
      </c>
      <c r="H32" s="42"/>
      <c r="I32" s="41">
        <v>297.0</v>
      </c>
      <c r="J32" s="41">
        <v>3567.0</v>
      </c>
      <c r="K32" s="38" t="s">
        <v>30</v>
      </c>
      <c r="L32" s="39">
        <v>7.0</v>
      </c>
      <c r="M32" s="39">
        <v>4.0</v>
      </c>
      <c r="N32" s="39">
        <v>1.0</v>
      </c>
      <c r="O32" s="43"/>
      <c r="P32" s="43"/>
      <c r="Q32" s="44">
        <v>22.0</v>
      </c>
      <c r="R32" s="45">
        <v>45627.0</v>
      </c>
      <c r="S32" s="45">
        <v>43264.0</v>
      </c>
      <c r="T32" s="41">
        <v>620000.0</v>
      </c>
      <c r="U32" s="45">
        <v>43355.0</v>
      </c>
      <c r="V32" s="1"/>
    </row>
    <row r="33" ht="24.0" customHeight="1">
      <c r="A33" s="1"/>
      <c r="B33" s="37" t="str">
        <f>HYPERLINK("https://www.compass.com/listing/89-04-182nd-place-queens-ny-11423/1485494424219837777/view?agent_id=610d3f3370540700019b0833","89-04 182nd Pl")</f>
        <v>89-04 182nd Pl</v>
      </c>
      <c r="C33" s="38" t="s">
        <v>29</v>
      </c>
      <c r="D33" s="39" t="s">
        <v>23</v>
      </c>
      <c r="E33" s="40" t="str">
        <f>HYPERLINK("https://www.compass.com/building/89-04-182nd-pl-queens-ny-11423/293534120653378021/","89-04 182nd Pl")</f>
        <v>89-04 182nd Pl</v>
      </c>
      <c r="F33" s="38" t="s">
        <v>24</v>
      </c>
      <c r="G33" s="41">
        <v>1100000.0</v>
      </c>
      <c r="H33" s="41">
        <v>582.0</v>
      </c>
      <c r="I33" s="41">
        <v>602.0</v>
      </c>
      <c r="J33" s="41">
        <v>7221.0</v>
      </c>
      <c r="K33" s="38" t="s">
        <v>32</v>
      </c>
      <c r="L33" s="43"/>
      <c r="M33" s="39">
        <v>4.0</v>
      </c>
      <c r="N33" s="39">
        <v>1.0</v>
      </c>
      <c r="O33" s="39">
        <v>0.0</v>
      </c>
      <c r="P33" s="46">
        <v>1890.0</v>
      </c>
      <c r="Q33" s="47"/>
      <c r="R33" s="48"/>
      <c r="S33" s="48"/>
      <c r="T33" s="41">
        <v>1100000.0</v>
      </c>
      <c r="U33" s="45">
        <v>45278.0</v>
      </c>
      <c r="V33" s="1"/>
    </row>
    <row r="34" ht="24.0" customHeight="1">
      <c r="A34" s="1"/>
      <c r="B34" s="37" t="str">
        <f>HYPERLINK("https://www.compass.com/listing/111-47-146th-street-unit-a-queens-ny-11435/446814863890319745/view?agent_id=610d3f3370540700019b0833","111-47 146th Street, Unit A")</f>
        <v>111-47 146th Street, Unit A</v>
      </c>
      <c r="C34" s="38" t="s">
        <v>29</v>
      </c>
      <c r="D34" s="39" t="s">
        <v>23</v>
      </c>
      <c r="E34" s="40" t="str">
        <f>HYPERLINK("https://www.compass.com/building/111-47-146th-st-queens-ny-11435/293534327382316885/","111-47 146th St")</f>
        <v>111-47 146th St</v>
      </c>
      <c r="F34" s="38" t="s">
        <v>24</v>
      </c>
      <c r="G34" s="41">
        <v>629000.0</v>
      </c>
      <c r="H34" s="42"/>
      <c r="I34" s="41">
        <v>0.0</v>
      </c>
      <c r="J34" s="41">
        <v>0.0</v>
      </c>
      <c r="K34" s="38" t="s">
        <v>30</v>
      </c>
      <c r="L34" s="39">
        <v>12.0</v>
      </c>
      <c r="M34" s="39">
        <v>4.0</v>
      </c>
      <c r="N34" s="43"/>
      <c r="O34" s="43"/>
      <c r="P34" s="43"/>
      <c r="Q34" s="44">
        <v>42.0</v>
      </c>
      <c r="R34" s="45">
        <v>44035.0</v>
      </c>
      <c r="S34" s="45">
        <v>43867.0</v>
      </c>
      <c r="T34" s="41">
        <v>629000.0</v>
      </c>
      <c r="U34" s="45">
        <v>43998.0</v>
      </c>
      <c r="V34" s="1"/>
    </row>
    <row r="35" ht="24.0" customHeight="1">
      <c r="A35" s="1"/>
      <c r="B35" s="37" t="str">
        <f>HYPERLINK("https://www.compass.com/listing/143-51-brinkerhoff-avenue-queens-ny-11435/1556404597860931185/view?agent_id=610d3f3370540700019b0833","143-51 Brinkerhoff Avenue")</f>
        <v>143-51 Brinkerhoff Avenue</v>
      </c>
      <c r="C35" s="38" t="s">
        <v>29</v>
      </c>
      <c r="D35" s="39" t="s">
        <v>23</v>
      </c>
      <c r="E35" s="40" t="str">
        <f>HYPERLINK("https://www.compass.com/building/143-51-brinkerhoff-ave-queens-ny-11435/293527919928592661/","143-51 Brinkerhoff Ave")</f>
        <v>143-51 Brinkerhoff Ave</v>
      </c>
      <c r="F35" s="38" t="s">
        <v>24</v>
      </c>
      <c r="G35" s="41">
        <v>220000.0</v>
      </c>
      <c r="H35" s="42"/>
      <c r="I35" s="41">
        <v>175.0</v>
      </c>
      <c r="J35" s="41">
        <v>2103.0</v>
      </c>
      <c r="K35" s="38" t="s">
        <v>30</v>
      </c>
      <c r="L35" s="39">
        <v>7.0</v>
      </c>
      <c r="M35" s="39">
        <v>4.0</v>
      </c>
      <c r="N35" s="39">
        <v>1.0</v>
      </c>
      <c r="O35" s="43"/>
      <c r="P35" s="43"/>
      <c r="Q35" s="44">
        <v>8.0</v>
      </c>
      <c r="R35" s="45">
        <v>45597.0</v>
      </c>
      <c r="S35" s="45">
        <v>41022.0</v>
      </c>
      <c r="T35" s="41">
        <v>220000.0</v>
      </c>
      <c r="U35" s="45">
        <v>41030.0</v>
      </c>
      <c r="V35" s="1"/>
    </row>
    <row r="36" ht="24.0" customHeight="1">
      <c r="A36" s="1"/>
      <c r="B36" s="37" t="str">
        <f>HYPERLINK("https://www.compass.com/listing/107-03-pinegrove-street-queens-ny-11435/210831333126060961/view?agent_id=610d3f3370540700019b0833","107-03 Pinegrove Street")</f>
        <v>107-03 Pinegrove Street</v>
      </c>
      <c r="C36" s="38" t="s">
        <v>29</v>
      </c>
      <c r="D36" s="39" t="s">
        <v>23</v>
      </c>
      <c r="E36" s="40" t="str">
        <f>HYPERLINK("https://www.compass.com/building/107-03-pinegrove-st-queens-ny-11435/293535252293443845/","107-03 Pinegrove St")</f>
        <v>107-03 Pinegrove St</v>
      </c>
      <c r="F36" s="38" t="s">
        <v>24</v>
      </c>
      <c r="G36" s="41">
        <v>320000.0</v>
      </c>
      <c r="H36" s="41">
        <v>225.0</v>
      </c>
      <c r="I36" s="41">
        <v>394.0</v>
      </c>
      <c r="J36" s="41">
        <v>4732.0</v>
      </c>
      <c r="K36" s="38" t="s">
        <v>30</v>
      </c>
      <c r="L36" s="39">
        <v>7.0</v>
      </c>
      <c r="M36" s="39">
        <v>4.0</v>
      </c>
      <c r="N36" s="39">
        <v>1.0</v>
      </c>
      <c r="O36" s="43"/>
      <c r="P36" s="46">
        <v>1424.0</v>
      </c>
      <c r="Q36" s="44">
        <v>148.0</v>
      </c>
      <c r="R36" s="45">
        <v>45623.0</v>
      </c>
      <c r="S36" s="45">
        <v>41673.0</v>
      </c>
      <c r="T36" s="41">
        <v>320000.0</v>
      </c>
      <c r="U36" s="45">
        <v>41957.0</v>
      </c>
      <c r="V36" s="1"/>
    </row>
    <row r="37" ht="24.0" customHeight="1">
      <c r="A37" s="1"/>
      <c r="B37" s="37" t="str">
        <f>HYPERLINK("https://www.compass.com/listing/107-29-pinegrove-street-unit-3-queens-ny-11435/353412080629048801/view?agent_id=610d3f3370540700019b0833","107-29 Pinegrove Street, Unit 3")</f>
        <v>107-29 Pinegrove Street, Unit 3</v>
      </c>
      <c r="C37" s="38" t="s">
        <v>29</v>
      </c>
      <c r="D37" s="39" t="s">
        <v>23</v>
      </c>
      <c r="E37" s="40" t="str">
        <f>HYPERLINK("https://www.compass.com/building/107-29-pinegrove-st-queens-ny-11435/293535228469785973/","107-29 Pinegrove St")</f>
        <v>107-29 Pinegrove St</v>
      </c>
      <c r="F37" s="38" t="s">
        <v>24</v>
      </c>
      <c r="G37" s="41">
        <v>320000.0</v>
      </c>
      <c r="H37" s="41">
        <v>225.0</v>
      </c>
      <c r="I37" s="41">
        <v>394.0</v>
      </c>
      <c r="J37" s="41">
        <v>4732.0</v>
      </c>
      <c r="K37" s="38" t="s">
        <v>25</v>
      </c>
      <c r="L37" s="39">
        <v>7.0</v>
      </c>
      <c r="M37" s="39">
        <v>4.0</v>
      </c>
      <c r="N37" s="39">
        <v>1.0</v>
      </c>
      <c r="O37" s="43"/>
      <c r="P37" s="46">
        <v>1424.0</v>
      </c>
      <c r="Q37" s="44">
        <v>149.0</v>
      </c>
      <c r="R37" s="45">
        <v>45547.0</v>
      </c>
      <c r="S37" s="45">
        <v>41672.0</v>
      </c>
      <c r="T37" s="41">
        <v>320000.0</v>
      </c>
      <c r="U37" s="45">
        <v>41956.0</v>
      </c>
      <c r="V37" s="1"/>
    </row>
    <row r="38" ht="24.0" customHeight="1">
      <c r="A38" s="1"/>
      <c r="B38" s="37" t="str">
        <f>HYPERLINK("https://www.compass.com/listing/143-48-brinkerhoff-avenue-queens-ny-11435/1556965711992888097/view?agent_id=610d3f3370540700019b0833","143-48 Brinkerhoff Avenue")</f>
        <v>143-48 Brinkerhoff Avenue</v>
      </c>
      <c r="C38" s="38" t="s">
        <v>29</v>
      </c>
      <c r="D38" s="39" t="s">
        <v>23</v>
      </c>
      <c r="E38" s="40" t="str">
        <f>HYPERLINK("https://www.compass.com/building/143-48-brinkerhoff-ave-queens-ny-11435/293532183061076677/","143-48 Brinkerhoff Ave")</f>
        <v>143-48 Brinkerhoff Ave</v>
      </c>
      <c r="F38" s="38" t="s">
        <v>24</v>
      </c>
      <c r="G38" s="41">
        <v>405000.0</v>
      </c>
      <c r="H38" s="42"/>
      <c r="I38" s="41">
        <v>145.0</v>
      </c>
      <c r="J38" s="41">
        <v>1738.0</v>
      </c>
      <c r="K38" s="38" t="s">
        <v>33</v>
      </c>
      <c r="L38" s="39">
        <v>10.0</v>
      </c>
      <c r="M38" s="39">
        <v>4.0</v>
      </c>
      <c r="N38" s="39">
        <v>1.0</v>
      </c>
      <c r="O38" s="43"/>
      <c r="P38" s="43"/>
      <c r="Q38" s="44">
        <v>109.0</v>
      </c>
      <c r="R38" s="45">
        <v>45623.0</v>
      </c>
      <c r="S38" s="45">
        <v>41821.0</v>
      </c>
      <c r="T38" s="41">
        <v>405000.0</v>
      </c>
      <c r="U38" s="45">
        <v>41915.0</v>
      </c>
      <c r="V38" s="1"/>
    </row>
    <row r="39" ht="24.0" customHeight="1">
      <c r="A39" s="1"/>
      <c r="B39" s="37" t="str">
        <f>HYPERLINK("https://www.compass.com/listing/107-58-142nd-street-queens-ny-11435/571882432108834225/view?agent_id=610d3f3370540700019b0833","107-58 142nd Street")</f>
        <v>107-58 142nd Street</v>
      </c>
      <c r="C39" s="38" t="s">
        <v>29</v>
      </c>
      <c r="D39" s="39" t="s">
        <v>23</v>
      </c>
      <c r="E39" s="40" t="str">
        <f>HYPERLINK("https://www.compass.com/building/107-58-142nd-st-queens-ny-11435/293527207744142229/","107-58 142nd St")</f>
        <v>107-58 142nd St</v>
      </c>
      <c r="F39" s="38" t="s">
        <v>24</v>
      </c>
      <c r="G39" s="41">
        <v>415000.0</v>
      </c>
      <c r="H39" s="42"/>
      <c r="I39" s="41">
        <v>305.0</v>
      </c>
      <c r="J39" s="41">
        <v>3664.0</v>
      </c>
      <c r="K39" s="38" t="s">
        <v>30</v>
      </c>
      <c r="L39" s="39">
        <v>7.0</v>
      </c>
      <c r="M39" s="39">
        <v>4.0</v>
      </c>
      <c r="N39" s="39">
        <v>1.0</v>
      </c>
      <c r="O39" s="43"/>
      <c r="P39" s="43"/>
      <c r="Q39" s="44">
        <v>17.0</v>
      </c>
      <c r="R39" s="45">
        <v>45617.0</v>
      </c>
      <c r="S39" s="45">
        <v>44040.0</v>
      </c>
      <c r="T39" s="41">
        <v>415000.0</v>
      </c>
      <c r="U39" s="45">
        <v>44118.0</v>
      </c>
      <c r="V39" s="1"/>
    </row>
    <row r="40" ht="24.0" customHeight="1">
      <c r="A40" s="1"/>
      <c r="B40" s="37" t="str">
        <f>HYPERLINK("https://www.compass.com/listing/139-07-88th-road-queens-ny-11435/1730514171310430089/view?agent_id=610d3f3370540700019b0833","139-07 88th Road")</f>
        <v>139-07 88th Road</v>
      </c>
      <c r="C40" s="38" t="s">
        <v>29</v>
      </c>
      <c r="D40" s="39" t="s">
        <v>23</v>
      </c>
      <c r="E40" s="40" t="str">
        <f>HYPERLINK("https://www.compass.com/building/139-07-88th-rd-queens-ny-11435/293526943989552965/","139-07 88th Rd")</f>
        <v>139-07 88th Rd</v>
      </c>
      <c r="F40" s="38" t="s">
        <v>24</v>
      </c>
      <c r="G40" s="41">
        <v>325000.0</v>
      </c>
      <c r="H40" s="41">
        <v>234.0</v>
      </c>
      <c r="I40" s="41">
        <v>304.0</v>
      </c>
      <c r="J40" s="41">
        <v>3649.0</v>
      </c>
      <c r="K40" s="38" t="s">
        <v>30</v>
      </c>
      <c r="L40" s="39">
        <v>7.0</v>
      </c>
      <c r="M40" s="39">
        <v>4.0</v>
      </c>
      <c r="N40" s="39">
        <v>1.0</v>
      </c>
      <c r="O40" s="43"/>
      <c r="P40" s="46">
        <v>1390.0</v>
      </c>
      <c r="Q40" s="44">
        <v>63.0</v>
      </c>
      <c r="R40" s="45">
        <v>45617.0</v>
      </c>
      <c r="S40" s="45">
        <v>41120.0</v>
      </c>
      <c r="T40" s="41">
        <v>325000.0</v>
      </c>
      <c r="U40" s="45">
        <v>41261.0</v>
      </c>
      <c r="V40" s="1"/>
    </row>
    <row r="41" ht="24.0" customHeight="1">
      <c r="A41" s="3"/>
      <c r="B41" s="25" t="s">
        <v>26</v>
      </c>
      <c r="C41" s="26"/>
      <c r="D41" s="27"/>
      <c r="E41" s="27"/>
      <c r="F41" s="26"/>
      <c r="G41" s="28">
        <f>IFERROR(__xludf.DUMMYFUNCTION("TO_DOLLARS(IFERROR(AVERAGE(G13:G40)))"),451221.4285714286)</f>
        <v>451221.4286</v>
      </c>
      <c r="H41" s="28">
        <f>IFERROR(__xludf.DUMMYFUNCTION("TO_DOLLARS(IFERROR(AVERAGE(H13:H40)))"),308.0833333333333)</f>
        <v>308.0833333</v>
      </c>
      <c r="I41" s="28">
        <f>IFERROR(__xludf.DUMMYFUNCTION("TO_DOLLARS(IFERROR(AVERAGE(I13:I40)))"),216.28571428571428)</f>
        <v>216.2857143</v>
      </c>
      <c r="J41" s="28">
        <f>IFERROR(__xludf.DUMMYFUNCTION("TO_DOLLARS(IFERROR(AVERAGE(J13:J40)))"),2595.464285714286)</f>
        <v>2595.464286</v>
      </c>
      <c r="K41" s="26"/>
      <c r="L41" s="27"/>
      <c r="M41" s="27"/>
      <c r="N41" s="27"/>
      <c r="O41" s="27"/>
      <c r="P41" s="27">
        <f t="shared" ref="P41:Q41" si="5">IFERROR(AVERAGE(P13:P40),"")</f>
        <v>1493.166667</v>
      </c>
      <c r="Q41" s="29">
        <f t="shared" si="5"/>
        <v>118.962963</v>
      </c>
      <c r="R41" s="30"/>
      <c r="S41" s="30"/>
      <c r="T41" s="28">
        <f>IFERROR(__xludf.DUMMYFUNCTION("TO_DOLLARS(IFERROR(AVERAGE(T13:T40)))"),451221.4285714286)</f>
        <v>451221.4286</v>
      </c>
      <c r="U41" s="30"/>
      <c r="V41" s="1"/>
    </row>
    <row r="42" ht="24.0" customHeight="1">
      <c r="A42" s="3"/>
      <c r="B42" s="31" t="s">
        <v>27</v>
      </c>
      <c r="C42" s="32"/>
      <c r="D42" s="33"/>
      <c r="E42" s="33"/>
      <c r="F42" s="32"/>
      <c r="G42" s="34">
        <f>IFERROR(__xludf.DUMMYFUNCTION("TO_DOLLARS(IFERROR(MEDIAN(G13:G40)))"),385000.0)</f>
        <v>385000</v>
      </c>
      <c r="H42" s="34">
        <f>IFERROR(__xludf.DUMMYFUNCTION("TO_DOLLARS(IFERROR(MEDIAN(H13:H40)))"),229.5)</f>
        <v>229.5</v>
      </c>
      <c r="I42" s="34">
        <f>IFERROR(__xludf.DUMMYFUNCTION("TO_DOLLARS(IFERROR(MEDIAN(I13:I40)))"),246.5)</f>
        <v>246.5</v>
      </c>
      <c r="J42" s="34">
        <f>IFERROR(__xludf.DUMMYFUNCTION("TO_DOLLARS(IFERROR(MEDIAN(J13:J40)))"),2953.5)</f>
        <v>2953.5</v>
      </c>
      <c r="K42" s="32"/>
      <c r="L42" s="33"/>
      <c r="M42" s="33"/>
      <c r="N42" s="33"/>
      <c r="O42" s="33"/>
      <c r="P42" s="33">
        <f t="shared" ref="P42:Q42" si="6">IFERROR(MEDIAN(P13:P40),"")</f>
        <v>1392.5</v>
      </c>
      <c r="Q42" s="35">
        <f t="shared" si="6"/>
        <v>63</v>
      </c>
      <c r="R42" s="36"/>
      <c r="S42" s="36"/>
      <c r="T42" s="34">
        <f>IFERROR(__xludf.DUMMYFUNCTION("TO_DOLLARS(IFERROR(MEDIAN(T13:T40)))"),385000.0)</f>
        <v>385000</v>
      </c>
      <c r="U42" s="36"/>
      <c r="V42" s="1"/>
    </row>
    <row r="43">
      <c r="A43" s="1"/>
      <c r="B43" s="2"/>
      <c r="C43" s="2"/>
      <c r="D43" s="2"/>
      <c r="E43" s="2"/>
      <c r="F43" s="2"/>
      <c r="G43" s="2"/>
      <c r="H43" s="2"/>
      <c r="I43" s="2"/>
      <c r="J43" s="2"/>
      <c r="K43" s="2"/>
      <c r="L43" s="2"/>
      <c r="M43" s="2"/>
      <c r="N43" s="2"/>
      <c r="O43" s="2"/>
      <c r="P43" s="2"/>
      <c r="Q43" s="2"/>
      <c r="R43" s="2"/>
      <c r="S43" s="2"/>
      <c r="T43" s="2"/>
      <c r="U43" s="2"/>
      <c r="V43" s="1"/>
    </row>
    <row r="44" ht="24.0" customHeight="1">
      <c r="A44" s="3"/>
      <c r="B44" s="10" t="s">
        <v>35</v>
      </c>
      <c r="C44" s="5"/>
      <c r="D44" s="5"/>
      <c r="E44" s="5"/>
      <c r="F44" s="5"/>
      <c r="G44" s="5"/>
      <c r="H44" s="5"/>
      <c r="I44" s="5"/>
      <c r="J44" s="5"/>
      <c r="K44" s="5"/>
      <c r="L44" s="5"/>
      <c r="M44" s="5"/>
      <c r="N44" s="5"/>
      <c r="O44" s="5"/>
      <c r="P44" s="5"/>
      <c r="Q44" s="5"/>
      <c r="R44" s="5"/>
      <c r="S44" s="5"/>
      <c r="T44" s="5"/>
      <c r="U44" s="6"/>
      <c r="V44" s="1"/>
    </row>
    <row r="45" ht="24.0" customHeight="1">
      <c r="A45" s="3"/>
      <c r="B45" s="11" t="s">
        <v>2</v>
      </c>
      <c r="C45" s="11" t="s">
        <v>3</v>
      </c>
      <c r="D45" s="12" t="s">
        <v>4</v>
      </c>
      <c r="E45" s="12" t="s">
        <v>5</v>
      </c>
      <c r="F45" s="11" t="s">
        <v>6</v>
      </c>
      <c r="G45" s="13" t="s">
        <v>7</v>
      </c>
      <c r="H45" s="13" t="s">
        <v>8</v>
      </c>
      <c r="I45" s="13" t="s">
        <v>9</v>
      </c>
      <c r="J45" s="13" t="s">
        <v>10</v>
      </c>
      <c r="K45" s="11" t="s">
        <v>11</v>
      </c>
      <c r="L45" s="12" t="s">
        <v>12</v>
      </c>
      <c r="M45" s="12" t="s">
        <v>13</v>
      </c>
      <c r="N45" s="12" t="s">
        <v>14</v>
      </c>
      <c r="O45" s="12" t="s">
        <v>15</v>
      </c>
      <c r="P45" s="12" t="s">
        <v>16</v>
      </c>
      <c r="Q45" s="13" t="s">
        <v>17</v>
      </c>
      <c r="R45" s="11" t="s">
        <v>18</v>
      </c>
      <c r="S45" s="11" t="s">
        <v>19</v>
      </c>
      <c r="T45" s="13" t="s">
        <v>20</v>
      </c>
      <c r="U45" s="11" t="s">
        <v>21</v>
      </c>
      <c r="V45" s="1"/>
    </row>
    <row r="46" ht="24.0" customHeight="1">
      <c r="A46" s="1"/>
      <c r="B46" s="14" t="str">
        <f>HYPERLINK("https://www.compass.com/listing/107-17-157th-street-queens-ny-11433/1764534850883445065/view?agent_id=610d3f3370540700019b0833","107-17 157th St")</f>
        <v>107-17 157th St</v>
      </c>
      <c r="C46" s="15" t="s">
        <v>36</v>
      </c>
      <c r="D46" s="16" t="s">
        <v>23</v>
      </c>
      <c r="E46" s="17" t="str">
        <f>HYPERLINK("https://www.compass.com/building/107-17-157th-st-queens-ny-11433/293527654311733541/","107-17 157th St")</f>
        <v>107-17 157th St</v>
      </c>
      <c r="F46" s="15" t="s">
        <v>24</v>
      </c>
      <c r="G46" s="18">
        <v>379900.0</v>
      </c>
      <c r="H46" s="18">
        <v>330.0</v>
      </c>
      <c r="I46" s="18">
        <v>244.0</v>
      </c>
      <c r="J46" s="18">
        <v>2932.0</v>
      </c>
      <c r="K46" s="15" t="s">
        <v>25</v>
      </c>
      <c r="L46" s="16">
        <v>7.0</v>
      </c>
      <c r="M46" s="16">
        <v>4.0</v>
      </c>
      <c r="N46" s="16">
        <v>1.0</v>
      </c>
      <c r="O46" s="19"/>
      <c r="P46" s="20">
        <v>1152.0</v>
      </c>
      <c r="Q46" s="21">
        <v>26.0</v>
      </c>
      <c r="R46" s="22">
        <v>45774.0</v>
      </c>
      <c r="S46" s="22">
        <v>45686.0</v>
      </c>
      <c r="T46" s="23"/>
      <c r="U46" s="24"/>
      <c r="V46" s="1"/>
    </row>
    <row r="47" ht="24.0" customHeight="1">
      <c r="A47" s="1"/>
      <c r="B47" s="37" t="str">
        <f>HYPERLINK("https://www.compass.com/listing/158-14-111th-avenue-queens-ny-11433/197695092243323857/view?agent_id=610d3f3370540700019b0833","158-14 111th Ave")</f>
        <v>158-14 111th Ave</v>
      </c>
      <c r="C47" s="38" t="s">
        <v>36</v>
      </c>
      <c r="D47" s="39" t="s">
        <v>23</v>
      </c>
      <c r="E47" s="40" t="str">
        <f>HYPERLINK("https://www.compass.com/building/158-14-111th-ave-queens-ny-11433/293531688988906997/","158-14 111th Ave")</f>
        <v>158-14 111th Ave</v>
      </c>
      <c r="F47" s="38" t="s">
        <v>24</v>
      </c>
      <c r="G47" s="41">
        <v>360000.0</v>
      </c>
      <c r="H47" s="41">
        <v>288.0</v>
      </c>
      <c r="I47" s="41">
        <v>192.0</v>
      </c>
      <c r="J47" s="41">
        <v>2300.0</v>
      </c>
      <c r="K47" s="38" t="s">
        <v>25</v>
      </c>
      <c r="L47" s="39">
        <v>6.0</v>
      </c>
      <c r="M47" s="39">
        <v>4.0</v>
      </c>
      <c r="N47" s="39">
        <v>1.0</v>
      </c>
      <c r="O47" s="43"/>
      <c r="P47" s="46">
        <v>1248.0</v>
      </c>
      <c r="Q47" s="44">
        <v>365.0</v>
      </c>
      <c r="R47" s="45">
        <v>45637.0</v>
      </c>
      <c r="S47" s="45">
        <v>43511.0</v>
      </c>
      <c r="T47" s="42"/>
      <c r="U47" s="48"/>
      <c r="V47" s="1"/>
    </row>
    <row r="48" ht="24.0" customHeight="1">
      <c r="A48" s="1"/>
      <c r="B48" s="37" t="str">
        <f>HYPERLINK("https://www.compass.com/listing/111-06-174th-street-queens-ny-11433/1730631432381479225/view?agent_id=610d3f3370540700019b0833","111-06 174th St")</f>
        <v>111-06 174th St</v>
      </c>
      <c r="C48" s="38" t="s">
        <v>36</v>
      </c>
      <c r="D48" s="39" t="s">
        <v>23</v>
      </c>
      <c r="E48" s="40" t="str">
        <f>HYPERLINK("https://www.compass.com/building/111-06-174th-st-queens-ny-11433/293531229192457861/","111-06 174th St")</f>
        <v>111-06 174th St</v>
      </c>
      <c r="F48" s="38" t="s">
        <v>24</v>
      </c>
      <c r="G48" s="41">
        <v>90000.0</v>
      </c>
      <c r="H48" s="41">
        <v>69.0</v>
      </c>
      <c r="I48" s="41">
        <v>249.0</v>
      </c>
      <c r="J48" s="41">
        <v>2990.0</v>
      </c>
      <c r="K48" s="38" t="s">
        <v>25</v>
      </c>
      <c r="L48" s="39">
        <v>6.0</v>
      </c>
      <c r="M48" s="39">
        <v>4.0</v>
      </c>
      <c r="N48" s="39">
        <v>1.0</v>
      </c>
      <c r="O48" s="43"/>
      <c r="P48" s="46">
        <v>1313.0</v>
      </c>
      <c r="Q48" s="44">
        <v>125.0</v>
      </c>
      <c r="R48" s="45">
        <v>45597.0</v>
      </c>
      <c r="S48" s="45">
        <v>41878.0</v>
      </c>
      <c r="T48" s="42"/>
      <c r="U48" s="48"/>
      <c r="V48" s="1"/>
    </row>
    <row r="49" ht="24.0" customHeight="1">
      <c r="A49" s="1"/>
      <c r="B49" s="37" t="str">
        <f>HYPERLINK("https://www.compass.com/listing/112-01-dillon-street-queens-ny-11433/1730720226325781769/view?agent_id=610d3f3370540700019b0833","112-01 Dillon St")</f>
        <v>112-01 Dillon St</v>
      </c>
      <c r="C49" s="38" t="s">
        <v>36</v>
      </c>
      <c r="D49" s="39" t="s">
        <v>23</v>
      </c>
      <c r="E49" s="40" t="str">
        <f>HYPERLINK("https://www.compass.com/building/112-01-dillon-st-queens-ny-11433/293417995399705253/","112-01 Dillon St")</f>
        <v>112-01 Dillon St</v>
      </c>
      <c r="F49" s="38" t="s">
        <v>24</v>
      </c>
      <c r="G49" s="41">
        <v>75000.0</v>
      </c>
      <c r="H49" s="41">
        <v>111.0</v>
      </c>
      <c r="I49" s="41">
        <v>150.0</v>
      </c>
      <c r="J49" s="41">
        <v>1800.0</v>
      </c>
      <c r="K49" s="38" t="s">
        <v>25</v>
      </c>
      <c r="L49" s="39">
        <v>10.0</v>
      </c>
      <c r="M49" s="39">
        <v>4.0</v>
      </c>
      <c r="N49" s="39">
        <v>1.0</v>
      </c>
      <c r="O49" s="43"/>
      <c r="P49" s="39">
        <v>677.0</v>
      </c>
      <c r="Q49" s="44">
        <v>31.0</v>
      </c>
      <c r="R49" s="45">
        <v>45597.0</v>
      </c>
      <c r="S49" s="45">
        <v>41491.0</v>
      </c>
      <c r="T49" s="42"/>
      <c r="U49" s="48"/>
      <c r="V49" s="1"/>
    </row>
    <row r="50" ht="24.0" customHeight="1">
      <c r="A50" s="1"/>
      <c r="B50" s="37" t="str">
        <f>HYPERLINK("https://www.compass.com/listing/107-22-171st-place-queens-ny-11433/1726436808527215849/view?agent_id=610d3f3370540700019b0833","107-22 171st Pl")</f>
        <v>107-22 171st Pl</v>
      </c>
      <c r="C50" s="38" t="s">
        <v>36</v>
      </c>
      <c r="D50" s="39" t="s">
        <v>23</v>
      </c>
      <c r="E50" s="40" t="str">
        <f>HYPERLINK("https://www.compass.com/building/107-22-171st-pl-queens-ny-11433/293417605908227781/","107-22 171st Pl")</f>
        <v>107-22 171st Pl</v>
      </c>
      <c r="F50" s="38" t="s">
        <v>24</v>
      </c>
      <c r="G50" s="41">
        <v>345000.0</v>
      </c>
      <c r="H50" s="41">
        <v>218.0</v>
      </c>
      <c r="I50" s="41">
        <v>246.0</v>
      </c>
      <c r="J50" s="41">
        <v>2951.0</v>
      </c>
      <c r="K50" s="38" t="s">
        <v>25</v>
      </c>
      <c r="L50" s="39">
        <v>8.0</v>
      </c>
      <c r="M50" s="39">
        <v>4.0</v>
      </c>
      <c r="N50" s="39">
        <v>1.0</v>
      </c>
      <c r="O50" s="43"/>
      <c r="P50" s="46">
        <v>1586.0</v>
      </c>
      <c r="Q50" s="44">
        <v>180.0</v>
      </c>
      <c r="R50" s="45">
        <v>45633.0</v>
      </c>
      <c r="S50" s="45">
        <v>41679.0</v>
      </c>
      <c r="T50" s="42"/>
      <c r="U50" s="48"/>
      <c r="V50" s="1"/>
    </row>
    <row r="51" ht="24.0" customHeight="1">
      <c r="A51" s="1"/>
      <c r="B51" s="37" t="str">
        <f>HYPERLINK("https://www.compass.com/listing/176-09-110th-avenue-unit-twnh-queens-ny-11433/215547272035910449/view?agent_id=610d3f3370540700019b0833","176-09 Brinkerhoff Ave")</f>
        <v>176-09 Brinkerhoff Ave</v>
      </c>
      <c r="C51" s="38" t="s">
        <v>37</v>
      </c>
      <c r="D51" s="39" t="s">
        <v>23</v>
      </c>
      <c r="E51" s="40" t="str">
        <f>HYPERLINK("https://www.compass.com/building/176-09-brinkerhoff-ave-queens-ny-11433/293417821487014037/","176-09 Brinkerhoff Ave")</f>
        <v>176-09 Brinkerhoff Ave</v>
      </c>
      <c r="F51" s="38" t="s">
        <v>24</v>
      </c>
      <c r="G51" s="41">
        <v>575000.0</v>
      </c>
      <c r="H51" s="42"/>
      <c r="I51" s="41">
        <v>319.0</v>
      </c>
      <c r="J51" s="41">
        <v>3828.0</v>
      </c>
      <c r="K51" s="38" t="s">
        <v>38</v>
      </c>
      <c r="L51" s="39">
        <v>13.0</v>
      </c>
      <c r="M51" s="39">
        <v>4.0</v>
      </c>
      <c r="N51" s="43"/>
      <c r="O51" s="43"/>
      <c r="P51" s="43"/>
      <c r="Q51" s="44">
        <v>183.0</v>
      </c>
      <c r="R51" s="45">
        <v>43734.0</v>
      </c>
      <c r="S51" s="45">
        <v>43549.0</v>
      </c>
      <c r="T51" s="42"/>
      <c r="U51" s="48"/>
      <c r="V51" s="1"/>
    </row>
    <row r="52" ht="24.0" customHeight="1">
      <c r="A52" s="1"/>
      <c r="B52" s="37" t="str">
        <f>HYPERLINK("https://www.compass.com/listing/107-17-157th-street-queens-ny-11433/559308657886812825/view?agent_id=610d3f3370540700019b0833","107-17 157th St")</f>
        <v>107-17 157th St</v>
      </c>
      <c r="C52" s="38" t="s">
        <v>36</v>
      </c>
      <c r="D52" s="39" t="s">
        <v>23</v>
      </c>
      <c r="E52" s="40" t="str">
        <f>HYPERLINK("https://www.compass.com/building/107-17-157th-st-queens-ny-11433/293527654311733541/","107-17 157th St")</f>
        <v>107-17 157th St</v>
      </c>
      <c r="F52" s="38" t="s">
        <v>24</v>
      </c>
      <c r="G52" s="41">
        <v>439000.0</v>
      </c>
      <c r="H52" s="41">
        <v>176.0</v>
      </c>
      <c r="I52" s="41">
        <v>215.0</v>
      </c>
      <c r="J52" s="41">
        <v>2578.0</v>
      </c>
      <c r="K52" s="38" t="s">
        <v>25</v>
      </c>
      <c r="L52" s="39">
        <v>7.0</v>
      </c>
      <c r="M52" s="39">
        <v>4.0</v>
      </c>
      <c r="N52" s="39">
        <v>1.0</v>
      </c>
      <c r="O52" s="43"/>
      <c r="P52" s="46">
        <v>2500.0</v>
      </c>
      <c r="Q52" s="44">
        <v>92.0</v>
      </c>
      <c r="R52" s="45">
        <v>45597.0</v>
      </c>
      <c r="S52" s="45">
        <v>44023.0</v>
      </c>
      <c r="T52" s="42"/>
      <c r="U52" s="48"/>
      <c r="V52" s="1"/>
    </row>
    <row r="53" ht="24.0" customHeight="1">
      <c r="A53" s="1"/>
      <c r="B53" s="37" t="str">
        <f>HYPERLINK("https://www.compass.com/listing/173-14-108th-avenue-queens-ny-11433/576636019754370881/view?agent_id=610d3f3370540700019b0833","173-14 108th Ave")</f>
        <v>173-14 108th Ave</v>
      </c>
      <c r="C53" s="38" t="s">
        <v>37</v>
      </c>
      <c r="D53" s="39" t="s">
        <v>23</v>
      </c>
      <c r="E53" s="40" t="str">
        <f>HYPERLINK("https://www.compass.com/building/173-14-108th-ave-queens-ny-11433/293535156336115925/","173-14 108th Ave")</f>
        <v>173-14 108th Ave</v>
      </c>
      <c r="F53" s="38" t="s">
        <v>24</v>
      </c>
      <c r="G53" s="41">
        <v>579000.0</v>
      </c>
      <c r="H53" s="42"/>
      <c r="I53" s="41">
        <v>0.0</v>
      </c>
      <c r="J53" s="41">
        <v>0.0</v>
      </c>
      <c r="K53" s="38" t="s">
        <v>38</v>
      </c>
      <c r="L53" s="39">
        <v>12.0</v>
      </c>
      <c r="M53" s="39">
        <v>4.0</v>
      </c>
      <c r="N53" s="43"/>
      <c r="O53" s="43"/>
      <c r="P53" s="43"/>
      <c r="Q53" s="44">
        <v>184.0</v>
      </c>
      <c r="R53" s="45">
        <v>44247.0</v>
      </c>
      <c r="S53" s="45">
        <v>44046.0</v>
      </c>
      <c r="T53" s="42"/>
      <c r="U53" s="48"/>
      <c r="V53" s="1"/>
    </row>
    <row r="54" ht="24.0" customHeight="1">
      <c r="A54" s="1"/>
      <c r="B54" s="37" t="str">
        <f>HYPERLINK("https://www.compass.com/listing/112-76-dillon-street-queens-ny-11433/933618943492285841/view?agent_id=610d3f3370540700019b0833","112-76 Dillon St")</f>
        <v>112-76 Dillon St</v>
      </c>
      <c r="C54" s="38" t="s">
        <v>37</v>
      </c>
      <c r="D54" s="39" t="s">
        <v>23</v>
      </c>
      <c r="E54" s="39" t="s">
        <v>39</v>
      </c>
      <c r="F54" s="38" t="s">
        <v>24</v>
      </c>
      <c r="G54" s="41">
        <v>740000.0</v>
      </c>
      <c r="H54" s="41">
        <v>529.0</v>
      </c>
      <c r="I54" s="41">
        <v>510.0</v>
      </c>
      <c r="J54" s="41">
        <v>6120.0</v>
      </c>
      <c r="K54" s="38" t="s">
        <v>38</v>
      </c>
      <c r="L54" s="43"/>
      <c r="M54" s="39">
        <v>4.0</v>
      </c>
      <c r="N54" s="43"/>
      <c r="O54" s="43"/>
      <c r="P54" s="46">
        <v>1400.0</v>
      </c>
      <c r="Q54" s="44">
        <v>39.0</v>
      </c>
      <c r="R54" s="45">
        <v>44819.0</v>
      </c>
      <c r="S54" s="45">
        <v>44539.0</v>
      </c>
      <c r="T54" s="42"/>
      <c r="U54" s="48"/>
      <c r="V54" s="1"/>
    </row>
    <row r="55" ht="24.0" customHeight="1">
      <c r="A55" s="1"/>
      <c r="B55" s="37" t="str">
        <f>HYPERLINK("https://www.compass.com/listing/171-10-107th-avenue-unit-1-queens-ny-11433/709137623674473601/view?agent_id=610d3f3370540700019b0833","171-10 107th Ave, Unit 1")</f>
        <v>171-10 107th Ave, Unit 1</v>
      </c>
      <c r="C55" s="38" t="s">
        <v>37</v>
      </c>
      <c r="D55" s="39" t="s">
        <v>23</v>
      </c>
      <c r="E55" s="40" t="str">
        <f>HYPERLINK("https://www.compass.com/building/171-10-107th-ave-queens-ny-11433/293417317499525669/","171-10 107th Ave")</f>
        <v>171-10 107th Ave</v>
      </c>
      <c r="F55" s="38" t="s">
        <v>24</v>
      </c>
      <c r="G55" s="41">
        <v>628888.0</v>
      </c>
      <c r="H55" s="41">
        <v>370.0</v>
      </c>
      <c r="I55" s="41">
        <v>0.0</v>
      </c>
      <c r="J55" s="41">
        <v>0.0</v>
      </c>
      <c r="K55" s="38" t="s">
        <v>38</v>
      </c>
      <c r="L55" s="39">
        <v>8.0</v>
      </c>
      <c r="M55" s="39">
        <v>4.0</v>
      </c>
      <c r="N55" s="43"/>
      <c r="O55" s="43"/>
      <c r="P55" s="46">
        <v>1700.0</v>
      </c>
      <c r="Q55" s="44">
        <v>66.0</v>
      </c>
      <c r="R55" s="45">
        <v>44340.0</v>
      </c>
      <c r="S55" s="45">
        <v>44230.0</v>
      </c>
      <c r="T55" s="42"/>
      <c r="U55" s="48"/>
      <c r="V55" s="1"/>
    </row>
    <row r="56" ht="24.0" customHeight="1">
      <c r="A56" s="1"/>
      <c r="B56" s="37" t="str">
        <f>HYPERLINK("https://www.compass.com/listing/174-01-108th-avenue-unit-twnh-queens-ny-11433/364697366825096529/view?agent_id=610d3f3370540700019b0833","174-01 108th Ave")</f>
        <v>174-01 108th Ave</v>
      </c>
      <c r="C56" s="38" t="s">
        <v>37</v>
      </c>
      <c r="D56" s="39" t="s">
        <v>23</v>
      </c>
      <c r="E56" s="40" t="str">
        <f>HYPERLINK("https://www.compass.com/building/174-01-108th-ave-queens-ny-11433/293535205292050821/","174-01 108th Ave")</f>
        <v>174-01 108th Ave</v>
      </c>
      <c r="F56" s="38" t="s">
        <v>24</v>
      </c>
      <c r="G56" s="41">
        <v>679000.0</v>
      </c>
      <c r="H56" s="41">
        <v>404.0</v>
      </c>
      <c r="I56" s="41">
        <v>475.0</v>
      </c>
      <c r="J56" s="41">
        <v>5700.0</v>
      </c>
      <c r="K56" s="38" t="s">
        <v>38</v>
      </c>
      <c r="L56" s="43"/>
      <c r="M56" s="39">
        <v>4.0</v>
      </c>
      <c r="N56" s="43"/>
      <c r="O56" s="43"/>
      <c r="P56" s="46">
        <v>1680.0</v>
      </c>
      <c r="Q56" s="44">
        <v>27.0</v>
      </c>
      <c r="R56" s="45">
        <v>44814.0</v>
      </c>
      <c r="S56" s="45">
        <v>43755.0</v>
      </c>
      <c r="T56" s="42"/>
      <c r="U56" s="48"/>
      <c r="V56" s="1"/>
    </row>
    <row r="57" ht="24.0" customHeight="1">
      <c r="A57" s="1"/>
      <c r="B57" s="37" t="str">
        <f>HYPERLINK("https://www.compass.com/listing/167-27-167th-street-queens-ny-11433/730009292595933345/view?agent_id=610d3f3370540700019b0833","167-27 167th St")</f>
        <v>167-27 167th St</v>
      </c>
      <c r="C57" s="38" t="s">
        <v>37</v>
      </c>
      <c r="D57" s="39" t="s">
        <v>23</v>
      </c>
      <c r="E57" s="39" t="s">
        <v>40</v>
      </c>
      <c r="F57" s="38" t="s">
        <v>24</v>
      </c>
      <c r="G57" s="41">
        <v>749999.0</v>
      </c>
      <c r="H57" s="41">
        <v>441.0</v>
      </c>
      <c r="I57" s="41">
        <v>525.0</v>
      </c>
      <c r="J57" s="41">
        <v>6300.0</v>
      </c>
      <c r="K57" s="38" t="s">
        <v>38</v>
      </c>
      <c r="L57" s="43"/>
      <c r="M57" s="39">
        <v>4.0</v>
      </c>
      <c r="N57" s="43"/>
      <c r="O57" s="43"/>
      <c r="P57" s="46">
        <v>1700.0</v>
      </c>
      <c r="Q57" s="44">
        <v>134.0</v>
      </c>
      <c r="R57" s="45">
        <v>44413.0</v>
      </c>
      <c r="S57" s="45">
        <v>44258.0</v>
      </c>
      <c r="T57" s="42"/>
      <c r="U57" s="48"/>
      <c r="V57" s="1"/>
    </row>
    <row r="58" ht="24.0" customHeight="1">
      <c r="A58" s="1"/>
      <c r="B58" s="37" t="str">
        <f>HYPERLINK("https://www.compass.com/listing/110-46-174th-street-queens-ny-11433/1193500236582337241/view?agent_id=610d3f3370540700019b0833","110-46 174th St")</f>
        <v>110-46 174th St</v>
      </c>
      <c r="C58" s="38" t="s">
        <v>36</v>
      </c>
      <c r="D58" s="39" t="s">
        <v>23</v>
      </c>
      <c r="E58" s="40" t="str">
        <f>HYPERLINK("https://www.compass.com/building/110-46-174th-st-queens-ny-11433/293532452687828597/","110-46 174th St")</f>
        <v>110-46 174th St</v>
      </c>
      <c r="F58" s="38" t="s">
        <v>24</v>
      </c>
      <c r="G58" s="41">
        <v>760000.0</v>
      </c>
      <c r="H58" s="41">
        <v>534.0</v>
      </c>
      <c r="I58" s="41">
        <v>380.0</v>
      </c>
      <c r="J58" s="41">
        <v>4554.0</v>
      </c>
      <c r="K58" s="38" t="s">
        <v>25</v>
      </c>
      <c r="L58" s="39">
        <v>7.0</v>
      </c>
      <c r="M58" s="39">
        <v>4.0</v>
      </c>
      <c r="N58" s="39">
        <v>1.0</v>
      </c>
      <c r="O58" s="43"/>
      <c r="P58" s="46">
        <v>1424.0</v>
      </c>
      <c r="Q58" s="44">
        <v>62.0</v>
      </c>
      <c r="R58" s="45">
        <v>45597.0</v>
      </c>
      <c r="S58" s="45">
        <v>44898.0</v>
      </c>
      <c r="T58" s="42"/>
      <c r="U58" s="48"/>
      <c r="V58" s="1"/>
    </row>
    <row r="59" ht="24.0" customHeight="1">
      <c r="A59" s="1"/>
      <c r="B59" s="37" t="str">
        <f>HYPERLINK("https://www.compass.com/listing/111-22-158th-street-queens-ny-11433/505487835362265889/view?agent_id=610d3f3370540700019b0833","111-22 158th St")</f>
        <v>111-22 158th St</v>
      </c>
      <c r="C59" s="38" t="s">
        <v>37</v>
      </c>
      <c r="D59" s="39" t="s">
        <v>23</v>
      </c>
      <c r="E59" s="40" t="str">
        <f>HYPERLINK("https://www.compass.com/building/111-22-158th-st-queens-ny-11433/293418067893952597/","111-22 158th St")</f>
        <v>111-22 158th St</v>
      </c>
      <c r="F59" s="38" t="s">
        <v>24</v>
      </c>
      <c r="G59" s="41">
        <v>629000.0</v>
      </c>
      <c r="H59" s="41">
        <v>326.0</v>
      </c>
      <c r="I59" s="41">
        <v>0.0</v>
      </c>
      <c r="J59" s="41">
        <v>0.0</v>
      </c>
      <c r="K59" s="38" t="s">
        <v>38</v>
      </c>
      <c r="L59" s="39">
        <v>12.0</v>
      </c>
      <c r="M59" s="39">
        <v>4.0</v>
      </c>
      <c r="N59" s="43"/>
      <c r="O59" s="43"/>
      <c r="P59" s="46">
        <v>1931.0</v>
      </c>
      <c r="Q59" s="44">
        <v>0.0</v>
      </c>
      <c r="R59" s="45">
        <v>44247.0</v>
      </c>
      <c r="S59" s="45">
        <v>43949.0</v>
      </c>
      <c r="T59" s="42"/>
      <c r="U59" s="48"/>
      <c r="V59" s="1"/>
    </row>
    <row r="60" ht="24.0" customHeight="1">
      <c r="A60" s="1"/>
      <c r="B60" s="37" t="str">
        <f>HYPERLINK("https://www.compass.com/listing/168-63-93rd-avenue-queens-ny-11433/1637928854473922633/view?agent_id=610d3f3370540700019b0833","168-63 93rd Ave")</f>
        <v>168-63 93rd Ave</v>
      </c>
      <c r="C60" s="38" t="s">
        <v>36</v>
      </c>
      <c r="D60" s="39" t="s">
        <v>23</v>
      </c>
      <c r="E60" s="40" t="str">
        <f>HYPERLINK("https://www.compass.com/building/168-63-93rd-ave-queens-ny-11433/293528783770639221/","168-63 93rd Ave")</f>
        <v>168-63 93rd Ave</v>
      </c>
      <c r="F60" s="38" t="s">
        <v>24</v>
      </c>
      <c r="G60" s="41">
        <v>779000.0</v>
      </c>
      <c r="H60" s="41">
        <v>440.0</v>
      </c>
      <c r="I60" s="41">
        <v>264.0</v>
      </c>
      <c r="J60" s="41">
        <v>3173.0</v>
      </c>
      <c r="K60" s="38" t="s">
        <v>41</v>
      </c>
      <c r="L60" s="39">
        <v>10.0</v>
      </c>
      <c r="M60" s="39">
        <v>4.0</v>
      </c>
      <c r="N60" s="43"/>
      <c r="O60" s="43"/>
      <c r="P60" s="46">
        <v>1772.0</v>
      </c>
      <c r="Q60" s="44">
        <v>147.0</v>
      </c>
      <c r="R60" s="45">
        <v>45658.0</v>
      </c>
      <c r="S60" s="45">
        <v>45511.0</v>
      </c>
      <c r="T60" s="42"/>
      <c r="U60" s="48"/>
      <c r="V60" s="1"/>
    </row>
    <row r="61" ht="24.0" customHeight="1">
      <c r="A61" s="1"/>
      <c r="B61" s="37" t="str">
        <f>HYPERLINK("https://www.compass.com/listing/177-15-110-avenue-queens-ny-11433/881497848680798537/view?agent_id=610d3f3370540700019b0833","177-15 110 Ave")</f>
        <v>177-15 110 Ave</v>
      </c>
      <c r="C61" s="38" t="s">
        <v>37</v>
      </c>
      <c r="D61" s="39" t="s">
        <v>23</v>
      </c>
      <c r="E61" s="40" t="str">
        <f>HYPERLINK("https://www.compass.com/building/177-15-110-ave-queens-ny-11433/293529441513026133/","177-15 110 Ave")</f>
        <v>177-15 110 Ave</v>
      </c>
      <c r="F61" s="38" t="s">
        <v>24</v>
      </c>
      <c r="G61" s="41">
        <v>800000.0</v>
      </c>
      <c r="H61" s="41">
        <v>427.0</v>
      </c>
      <c r="I61" s="41">
        <v>0.0</v>
      </c>
      <c r="J61" s="41">
        <v>0.0</v>
      </c>
      <c r="K61" s="38" t="s">
        <v>32</v>
      </c>
      <c r="L61" s="43"/>
      <c r="M61" s="39">
        <v>4.0</v>
      </c>
      <c r="N61" s="43"/>
      <c r="O61" s="43"/>
      <c r="P61" s="46">
        <v>1873.0</v>
      </c>
      <c r="Q61" s="44">
        <v>1.0</v>
      </c>
      <c r="R61" s="45">
        <v>44468.0</v>
      </c>
      <c r="S61" s="45">
        <v>44468.0</v>
      </c>
      <c r="T61" s="42"/>
      <c r="U61" s="48"/>
      <c r="V61" s="1"/>
    </row>
    <row r="62" ht="24.0" customHeight="1">
      <c r="A62" s="1"/>
      <c r="B62" s="37" t="str">
        <f>HYPERLINK("https://www.compass.com/listing/161-24-mathias-avenue-queens-ny-11433/269223361677140465/view?agent_id=610d3f3370540700019b0833","161-24 Mathias Ave")</f>
        <v>161-24 Mathias Ave</v>
      </c>
      <c r="C62" s="38" t="s">
        <v>37</v>
      </c>
      <c r="D62" s="39" t="s">
        <v>23</v>
      </c>
      <c r="E62" s="40" t="str">
        <f>HYPERLINK("https://www.compass.com/building/161-24-mathias-ave-queens-ny-11433/293528856348905093/","161-24 Mathias Ave")</f>
        <v>161-24 Mathias Ave</v>
      </c>
      <c r="F62" s="38" t="s">
        <v>24</v>
      </c>
      <c r="G62" s="41">
        <v>769999.0</v>
      </c>
      <c r="H62" s="41">
        <v>770.0</v>
      </c>
      <c r="I62" s="41">
        <v>539.0</v>
      </c>
      <c r="J62" s="41">
        <v>6468.0</v>
      </c>
      <c r="K62" s="38" t="s">
        <v>41</v>
      </c>
      <c r="L62" s="43"/>
      <c r="M62" s="39">
        <v>4.0</v>
      </c>
      <c r="N62" s="43"/>
      <c r="O62" s="43"/>
      <c r="P62" s="46">
        <v>1000.0</v>
      </c>
      <c r="Q62" s="44">
        <v>95.0</v>
      </c>
      <c r="R62" s="45">
        <v>43720.0</v>
      </c>
      <c r="S62" s="45">
        <v>43623.0</v>
      </c>
      <c r="T62" s="42"/>
      <c r="U62" s="48"/>
      <c r="V62" s="1"/>
    </row>
    <row r="63" ht="24.0" customHeight="1">
      <c r="A63" s="1"/>
      <c r="B63" s="37" t="str">
        <f>HYPERLINK("https://www.compass.com/listing/16704-brinkerhoff-avenue-queens-ny-11433/467632612702825529/view?agent_id=610d3f3370540700019b0833","16704 Brinkerhoff Ave")</f>
        <v>16704 Brinkerhoff Ave</v>
      </c>
      <c r="C63" s="38" t="s">
        <v>37</v>
      </c>
      <c r="D63" s="39" t="s">
        <v>23</v>
      </c>
      <c r="E63" s="40" t="str">
        <f>HYPERLINK("https://www.compass.com/building/16704-brinkerhoff-ave-queens-ny-11433/293418071794657685/","16704 Brinkerhoff Ave")</f>
        <v>16704 Brinkerhoff Ave</v>
      </c>
      <c r="F63" s="38" t="s">
        <v>24</v>
      </c>
      <c r="G63" s="41">
        <v>799000.0</v>
      </c>
      <c r="H63" s="41">
        <v>433.0</v>
      </c>
      <c r="I63" s="41">
        <v>559.0</v>
      </c>
      <c r="J63" s="41">
        <v>6708.0</v>
      </c>
      <c r="K63" s="38" t="s">
        <v>32</v>
      </c>
      <c r="L63" s="43"/>
      <c r="M63" s="39">
        <v>4.0</v>
      </c>
      <c r="N63" s="43"/>
      <c r="O63" s="43"/>
      <c r="P63" s="46">
        <v>1844.0</v>
      </c>
      <c r="Q63" s="44">
        <v>0.0</v>
      </c>
      <c r="R63" s="45">
        <v>44043.0</v>
      </c>
      <c r="S63" s="45">
        <v>43896.0</v>
      </c>
      <c r="T63" s="42"/>
      <c r="U63" s="48"/>
      <c r="V63" s="1"/>
    </row>
    <row r="64" ht="24.0" customHeight="1">
      <c r="A64" s="1"/>
      <c r="B64" s="37" t="str">
        <f>HYPERLINK("https://www.compass.com/listing/173-11-111th-avenue-queens-ny-11433/29131837636883601/view?agent_id=610d3f3370540700019b0833","173-11 111th Ave")</f>
        <v>173-11 111th Ave</v>
      </c>
      <c r="C64" s="38" t="s">
        <v>37</v>
      </c>
      <c r="D64" s="39" t="s">
        <v>23</v>
      </c>
      <c r="E64" s="40" t="str">
        <f>HYPERLINK("https://www.compass.com/building/173-11-111th-ave-queens-ny-11433/293526426722859989/","173-11 111th Ave")</f>
        <v>173-11 111th Ave</v>
      </c>
      <c r="F64" s="38" t="s">
        <v>24</v>
      </c>
      <c r="G64" s="41">
        <v>570000.0</v>
      </c>
      <c r="H64" s="42"/>
      <c r="I64" s="41">
        <v>0.0</v>
      </c>
      <c r="J64" s="41">
        <v>0.0</v>
      </c>
      <c r="K64" s="38" t="s">
        <v>32</v>
      </c>
      <c r="L64" s="39">
        <v>7.0</v>
      </c>
      <c r="M64" s="39">
        <v>4.0</v>
      </c>
      <c r="N64" s="43"/>
      <c r="O64" s="43"/>
      <c r="P64" s="43"/>
      <c r="Q64" s="44">
        <v>379.0</v>
      </c>
      <c r="R64" s="45">
        <v>43602.0</v>
      </c>
      <c r="S64" s="45">
        <v>43138.0</v>
      </c>
      <c r="T64" s="42"/>
      <c r="U64" s="48"/>
      <c r="V64" s="1"/>
    </row>
    <row r="65" ht="24.0" customHeight="1">
      <c r="A65" s="1"/>
      <c r="B65" s="37" t="str">
        <f>HYPERLINK("https://www.compass.com/listing/110-22-175th-street-queens-ny-11433/4799153271459546689/view?agent_id=610d3f3370540700019b0833","110-22 175th St")</f>
        <v>110-22 175th St</v>
      </c>
      <c r="C65" s="38" t="s">
        <v>37</v>
      </c>
      <c r="D65" s="39" t="s">
        <v>23</v>
      </c>
      <c r="E65" s="40" t="str">
        <f>HYPERLINK("https://www.compass.com/building/110-22-175th-st-queens-ny-11433/293531711587824485/","110-22 175th St")</f>
        <v>110-22 175th St</v>
      </c>
      <c r="F65" s="38" t="s">
        <v>24</v>
      </c>
      <c r="G65" s="41">
        <v>599999.0</v>
      </c>
      <c r="H65" s="42"/>
      <c r="I65" s="41">
        <v>0.0</v>
      </c>
      <c r="J65" s="41">
        <v>0.0</v>
      </c>
      <c r="K65" s="38" t="s">
        <v>32</v>
      </c>
      <c r="L65" s="39">
        <v>7.0</v>
      </c>
      <c r="M65" s="39">
        <v>4.0</v>
      </c>
      <c r="N65" s="43"/>
      <c r="O65" s="43"/>
      <c r="P65" s="43"/>
      <c r="Q65" s="44">
        <v>156.0</v>
      </c>
      <c r="R65" s="45">
        <v>43602.0</v>
      </c>
      <c r="S65" s="45">
        <v>43147.0</v>
      </c>
      <c r="T65" s="42"/>
      <c r="U65" s="48"/>
      <c r="V65" s="1"/>
    </row>
    <row r="66" ht="24.0" customHeight="1">
      <c r="A66" s="1"/>
      <c r="B66" s="37" t="str">
        <f>HYPERLINK("https://www.compass.com/listing/107-40-166th-street-queens-ny-11433/4860995466935932993/view?agent_id=610d3f3370540700019b0833","107-40 166th St")</f>
        <v>107-40 166th St</v>
      </c>
      <c r="C66" s="38" t="s">
        <v>37</v>
      </c>
      <c r="D66" s="39" t="s">
        <v>23</v>
      </c>
      <c r="E66" s="40" t="str">
        <f>HYPERLINK("https://www.compass.com/building/107-40-166th-st-queens-ny-11433/293532473583857797/","107-40 166th St")</f>
        <v>107-40 166th St</v>
      </c>
      <c r="F66" s="38" t="s">
        <v>24</v>
      </c>
      <c r="G66" s="41">
        <v>739999.0</v>
      </c>
      <c r="H66" s="42"/>
      <c r="I66" s="41">
        <v>0.0</v>
      </c>
      <c r="J66" s="41">
        <v>0.0</v>
      </c>
      <c r="K66" s="38" t="s">
        <v>32</v>
      </c>
      <c r="L66" s="39">
        <v>14.0</v>
      </c>
      <c r="M66" s="39">
        <v>4.0</v>
      </c>
      <c r="N66" s="43"/>
      <c r="O66" s="43"/>
      <c r="P66" s="43"/>
      <c r="Q66" s="44">
        <v>366.0</v>
      </c>
      <c r="R66" s="45">
        <v>43602.0</v>
      </c>
      <c r="S66" s="45">
        <v>43182.0</v>
      </c>
      <c r="T66" s="42"/>
      <c r="U66" s="48"/>
      <c r="V66" s="1"/>
    </row>
    <row r="67" ht="24.0" customHeight="1">
      <c r="A67" s="1"/>
      <c r="B67" s="37" t="str">
        <f>HYPERLINK("https://www.compass.com/listing/176-07-90th-avenue-queens-ny-11432/500849768462080113/view?agent_id=610d3f3370540700019b0833","176-07 90th Ave")</f>
        <v>176-07 90th Ave</v>
      </c>
      <c r="C67" s="38" t="s">
        <v>36</v>
      </c>
      <c r="D67" s="39" t="s">
        <v>23</v>
      </c>
      <c r="E67" s="40" t="str">
        <f>HYPERLINK("https://www.compass.com/building/176-07-90th-ave-queens-ny-11432/293530793102365189/","176-07 90th Ave")</f>
        <v>176-07 90th Ave</v>
      </c>
      <c r="F67" s="38" t="s">
        <v>42</v>
      </c>
      <c r="G67" s="41">
        <v>625000.0</v>
      </c>
      <c r="H67" s="41">
        <v>506.0</v>
      </c>
      <c r="I67" s="41">
        <v>336.0</v>
      </c>
      <c r="J67" s="41">
        <v>4036.0</v>
      </c>
      <c r="K67" s="38" t="s">
        <v>25</v>
      </c>
      <c r="L67" s="39">
        <v>7.0</v>
      </c>
      <c r="M67" s="39">
        <v>4.0</v>
      </c>
      <c r="N67" s="39">
        <v>1.0</v>
      </c>
      <c r="O67" s="43"/>
      <c r="P67" s="46">
        <v>1236.0</v>
      </c>
      <c r="Q67" s="44">
        <v>331.0</v>
      </c>
      <c r="R67" s="45">
        <v>45597.0</v>
      </c>
      <c r="S67" s="45">
        <v>42634.0</v>
      </c>
      <c r="T67" s="42"/>
      <c r="U67" s="48"/>
      <c r="V67" s="1"/>
    </row>
    <row r="68" ht="24.0" customHeight="1">
      <c r="A68" s="1"/>
      <c r="B68" s="37" t="str">
        <f>HYPERLINK("https://www.compass.com/listing/181-20-93rd-avenue-unit-1-queens-ny-11423/903358573944749537/view?agent_id=610d3f3370540700019b0833","181-20 93rd Ave, Unit 1")</f>
        <v>181-20 93rd Ave, Unit 1</v>
      </c>
      <c r="C68" s="38" t="s">
        <v>37</v>
      </c>
      <c r="D68" s="39" t="s">
        <v>23</v>
      </c>
      <c r="E68" s="40" t="str">
        <f>HYPERLINK("https://www.compass.com/building/181-20-93rd-ave-queens-ny-11423/293528161772125621/","181-20 93rd Ave")</f>
        <v>181-20 93rd Ave</v>
      </c>
      <c r="F68" s="38" t="s">
        <v>43</v>
      </c>
      <c r="G68" s="41">
        <v>679999.0</v>
      </c>
      <c r="H68" s="41">
        <v>463.0</v>
      </c>
      <c r="I68" s="41">
        <v>292.0</v>
      </c>
      <c r="J68" s="41">
        <v>3504.0</v>
      </c>
      <c r="K68" s="38" t="s">
        <v>38</v>
      </c>
      <c r="L68" s="39">
        <v>11.0</v>
      </c>
      <c r="M68" s="39">
        <v>4.0</v>
      </c>
      <c r="N68" s="43"/>
      <c r="O68" s="43"/>
      <c r="P68" s="46">
        <v>1468.0</v>
      </c>
      <c r="Q68" s="44">
        <v>158.0</v>
      </c>
      <c r="R68" s="45">
        <v>44658.0</v>
      </c>
      <c r="S68" s="45">
        <v>44351.0</v>
      </c>
      <c r="T68" s="42"/>
      <c r="U68" s="48"/>
      <c r="V68" s="1"/>
    </row>
    <row r="69" ht="24.0" customHeight="1">
      <c r="A69" s="1"/>
      <c r="B69" s="37" t="str">
        <f>HYPERLINK("https://www.compass.com/listing/175-15-90th-avenue-queens-ny-11432/1262476936200640737/view?agent_id=610d3f3370540700019b0833","175-15 90th Ave")</f>
        <v>175-15 90th Ave</v>
      </c>
      <c r="C69" s="38" t="s">
        <v>36</v>
      </c>
      <c r="D69" s="39" t="s">
        <v>23</v>
      </c>
      <c r="E69" s="40" t="str">
        <f>HYPERLINK("https://www.compass.com/building/175-15-90th-ave-queens-ny-11432/293417343873188085/","175-15 90th Ave")</f>
        <v>175-15 90th Ave</v>
      </c>
      <c r="F69" s="38" t="s">
        <v>42</v>
      </c>
      <c r="G69" s="41">
        <v>1100000.0</v>
      </c>
      <c r="H69" s="41">
        <v>529.0</v>
      </c>
      <c r="I69" s="41">
        <v>536.0</v>
      </c>
      <c r="J69" s="41">
        <v>6430.0</v>
      </c>
      <c r="K69" s="38" t="s">
        <v>25</v>
      </c>
      <c r="L69" s="39">
        <v>8.0</v>
      </c>
      <c r="M69" s="39">
        <v>4.0</v>
      </c>
      <c r="N69" s="39">
        <v>1.0</v>
      </c>
      <c r="O69" s="43"/>
      <c r="P69" s="46">
        <v>2080.0</v>
      </c>
      <c r="Q69" s="44">
        <v>184.0</v>
      </c>
      <c r="R69" s="45">
        <v>45597.0</v>
      </c>
      <c r="S69" s="45">
        <v>44993.0</v>
      </c>
      <c r="T69" s="42"/>
      <c r="U69" s="48"/>
      <c r="V69" s="1"/>
    </row>
    <row r="70" ht="24.0" customHeight="1">
      <c r="A70" s="1"/>
      <c r="B70" s="37" t="str">
        <f>HYPERLINK("https://www.compass.com/listing/110-12-172nd-street-queens-ny-11433/1764900630980916737/view?agent_id=610d3f3370540700019b0833","110-12 172nd St")</f>
        <v>110-12 172nd St</v>
      </c>
      <c r="C70" s="38" t="s">
        <v>36</v>
      </c>
      <c r="D70" s="39" t="s">
        <v>23</v>
      </c>
      <c r="E70" s="40" t="str">
        <f>HYPERLINK("https://www.compass.com/building/110-12-172nd-st-queens-ny-11433/293531171529273045/","110-12 172nd St")</f>
        <v>110-12 172nd St</v>
      </c>
      <c r="F70" s="38" t="s">
        <v>24</v>
      </c>
      <c r="G70" s="41">
        <v>449000.0</v>
      </c>
      <c r="H70" s="41">
        <v>340.0</v>
      </c>
      <c r="I70" s="41">
        <v>363.0</v>
      </c>
      <c r="J70" s="41">
        <v>4353.0</v>
      </c>
      <c r="K70" s="38" t="s">
        <v>41</v>
      </c>
      <c r="L70" s="39">
        <v>6.0</v>
      </c>
      <c r="M70" s="39">
        <v>4.0</v>
      </c>
      <c r="N70" s="43"/>
      <c r="O70" s="43"/>
      <c r="P70" s="46">
        <v>1320.0</v>
      </c>
      <c r="Q70" s="44">
        <v>92.0</v>
      </c>
      <c r="R70" s="45">
        <v>45597.0</v>
      </c>
      <c r="S70" s="45">
        <v>43665.0</v>
      </c>
      <c r="T70" s="42"/>
      <c r="U70" s="48"/>
      <c r="V70" s="1"/>
    </row>
    <row r="71" ht="24.0" customHeight="1">
      <c r="A71" s="1"/>
      <c r="B71" s="37" t="str">
        <f>HYPERLINK("https://www.compass.com/listing/93-14-177th-street-unit-2-queens-ny-11433/487911919392142065/view?agent_id=610d3f3370540700019b0833","93-14 177th St, Unit 2")</f>
        <v>93-14 177th St, Unit 2</v>
      </c>
      <c r="C71" s="38" t="s">
        <v>37</v>
      </c>
      <c r="D71" s="39" t="s">
        <v>23</v>
      </c>
      <c r="E71" s="40" t="str">
        <f>HYPERLINK("https://www.compass.com/building/93-14-177th-st-queens-ny-11433/293532416818124709/","93-14 177th St")</f>
        <v>93-14 177th St</v>
      </c>
      <c r="F71" s="38" t="s">
        <v>43</v>
      </c>
      <c r="G71" s="41">
        <v>699000.0</v>
      </c>
      <c r="H71" s="41">
        <v>466.0</v>
      </c>
      <c r="I71" s="41">
        <v>489.0</v>
      </c>
      <c r="J71" s="41">
        <v>5868.0</v>
      </c>
      <c r="K71" s="38" t="s">
        <v>32</v>
      </c>
      <c r="L71" s="43"/>
      <c r="M71" s="39">
        <v>4.0</v>
      </c>
      <c r="N71" s="43"/>
      <c r="O71" s="43"/>
      <c r="P71" s="46">
        <v>1500.0</v>
      </c>
      <c r="Q71" s="44">
        <v>0.0</v>
      </c>
      <c r="R71" s="45">
        <v>43963.0</v>
      </c>
      <c r="S71" s="45">
        <v>43924.0</v>
      </c>
      <c r="T71" s="42"/>
      <c r="U71" s="48"/>
      <c r="V71" s="1"/>
    </row>
    <row r="72" ht="24.0" customHeight="1">
      <c r="A72" s="1"/>
      <c r="B72" s="37" t="str">
        <f>HYPERLINK("https://www.compass.com/listing/182-35-jamaica-avenue-unit-2-queens-ny-11423/4852267222703278193/view?agent_id=610d3f3370540700019b0833","182-35 Jamaica Ave, Unit 2")</f>
        <v>182-35 Jamaica Ave, Unit 2</v>
      </c>
      <c r="C72" s="38" t="s">
        <v>37</v>
      </c>
      <c r="D72" s="39" t="s">
        <v>23</v>
      </c>
      <c r="E72" s="40" t="str">
        <f>HYPERLINK("https://www.compass.com/building/182-35-jamaica-ave-queens-ny-11423/293531707469016853/","182-35 Jamaica Ave")</f>
        <v>182-35 Jamaica Ave</v>
      </c>
      <c r="F72" s="38" t="s">
        <v>24</v>
      </c>
      <c r="G72" s="41">
        <v>529000.0</v>
      </c>
      <c r="H72" s="41">
        <v>282.0</v>
      </c>
      <c r="I72" s="41">
        <v>914.0</v>
      </c>
      <c r="J72" s="41">
        <v>10968.0</v>
      </c>
      <c r="K72" s="38" t="s">
        <v>44</v>
      </c>
      <c r="L72" s="39">
        <v>14.0</v>
      </c>
      <c r="M72" s="39">
        <v>4.0</v>
      </c>
      <c r="N72" s="39">
        <v>0.0</v>
      </c>
      <c r="O72" s="39">
        <v>0.0</v>
      </c>
      <c r="P72" s="46">
        <v>1875.0</v>
      </c>
      <c r="Q72" s="44">
        <v>394.0</v>
      </c>
      <c r="R72" s="45">
        <v>44581.0</v>
      </c>
      <c r="S72" s="45">
        <v>42484.0</v>
      </c>
      <c r="T72" s="42"/>
      <c r="U72" s="48"/>
      <c r="V72" s="1"/>
    </row>
    <row r="73" ht="24.0" customHeight="1">
      <c r="A73" s="1"/>
      <c r="B73" s="37" t="str">
        <f>HYPERLINK("https://www.compass.com/listing/109-55-union-hall-street-unit-a-queens-ny-11433/467754996455452169/view?agent_id=610d3f3370540700019b0833","109-55 Union Hall St, Unit A")</f>
        <v>109-55 Union Hall St, Unit A</v>
      </c>
      <c r="C73" s="38" t="s">
        <v>37</v>
      </c>
      <c r="D73" s="39" t="s">
        <v>23</v>
      </c>
      <c r="E73" s="40" t="str">
        <f>HYPERLINK("https://www.compass.com/building/109-55-union-hall-st-queens-ny-11433/293417973278937333/","109-55 Union Hall St")</f>
        <v>109-55 Union Hall St</v>
      </c>
      <c r="F73" s="38" t="s">
        <v>34</v>
      </c>
      <c r="G73" s="41">
        <v>579999.0</v>
      </c>
      <c r="H73" s="42"/>
      <c r="I73" s="41">
        <v>0.0</v>
      </c>
      <c r="J73" s="41">
        <v>0.0</v>
      </c>
      <c r="K73" s="38" t="s">
        <v>38</v>
      </c>
      <c r="L73" s="39">
        <v>12.0</v>
      </c>
      <c r="M73" s="39">
        <v>4.0</v>
      </c>
      <c r="N73" s="43"/>
      <c r="O73" s="43"/>
      <c r="P73" s="43"/>
      <c r="Q73" s="44">
        <v>46.0</v>
      </c>
      <c r="R73" s="45">
        <v>44037.0</v>
      </c>
      <c r="S73" s="45">
        <v>43897.0</v>
      </c>
      <c r="T73" s="42"/>
      <c r="U73" s="48"/>
      <c r="V73" s="1"/>
    </row>
    <row r="74" ht="24.0" customHeight="1">
      <c r="A74" s="1"/>
      <c r="B74" s="37" t="str">
        <f>HYPERLINK("https://www.compass.com/listing/88-29-138th-street-queens-ny-11435/822194080082432329/view?agent_id=610d3f3370540700019b0833","88-29 138th St")</f>
        <v>88-29 138th St</v>
      </c>
      <c r="C74" s="38" t="s">
        <v>37</v>
      </c>
      <c r="D74" s="39" t="s">
        <v>23</v>
      </c>
      <c r="E74" s="40" t="str">
        <f>HYPERLINK("https://www.compass.com/building/88-29-138th-st-queens-ny-11435/293534419891791877/","88-29 138th St")</f>
        <v>88-29 138th St</v>
      </c>
      <c r="F74" s="38" t="s">
        <v>24</v>
      </c>
      <c r="G74" s="41">
        <v>570000.0</v>
      </c>
      <c r="H74" s="41">
        <v>330.0</v>
      </c>
      <c r="I74" s="41">
        <v>497.0</v>
      </c>
      <c r="J74" s="41">
        <v>5964.0</v>
      </c>
      <c r="K74" s="38" t="s">
        <v>32</v>
      </c>
      <c r="L74" s="39">
        <v>8.0</v>
      </c>
      <c r="M74" s="39">
        <v>4.0</v>
      </c>
      <c r="N74" s="43"/>
      <c r="O74" s="43"/>
      <c r="P74" s="46">
        <v>1728.0</v>
      </c>
      <c r="Q74" s="44">
        <v>30.0</v>
      </c>
      <c r="R74" s="45">
        <v>44503.0</v>
      </c>
      <c r="S74" s="45">
        <v>44386.0</v>
      </c>
      <c r="T74" s="41">
        <v>570000.0</v>
      </c>
      <c r="U74" s="45">
        <v>44497.0</v>
      </c>
      <c r="V74" s="1"/>
    </row>
    <row r="75" ht="24.0" customHeight="1">
      <c r="A75" s="1"/>
      <c r="B75" s="37" t="str">
        <f>HYPERLINK("https://www.compass.com/listing/147-32-97th-avenue-queens-ny-11435/1730518471403384097/view?agent_id=610d3f3370540700019b0833","147-32 97th Ave")</f>
        <v>147-32 97th Ave</v>
      </c>
      <c r="C75" s="38" t="s">
        <v>36</v>
      </c>
      <c r="D75" s="39" t="s">
        <v>23</v>
      </c>
      <c r="E75" s="40" t="str">
        <f>HYPERLINK("https://www.compass.com/building/147-32-97th-ave-queens-ny-11435/293418140891645845/","147-32 97th Ave")</f>
        <v>147-32 97th Ave</v>
      </c>
      <c r="F75" s="38" t="s">
        <v>24</v>
      </c>
      <c r="G75" s="41">
        <v>1750.0</v>
      </c>
      <c r="H75" s="41">
        <v>1.0</v>
      </c>
      <c r="I75" s="41">
        <v>0.0</v>
      </c>
      <c r="J75" s="41">
        <v>0.0</v>
      </c>
      <c r="K75" s="38" t="s">
        <v>41</v>
      </c>
      <c r="L75" s="39">
        <v>8.0</v>
      </c>
      <c r="M75" s="39">
        <v>4.0</v>
      </c>
      <c r="N75" s="39">
        <v>1.0</v>
      </c>
      <c r="O75" s="43"/>
      <c r="P75" s="46">
        <v>2224.0</v>
      </c>
      <c r="Q75" s="44">
        <v>91.0</v>
      </c>
      <c r="R75" s="45">
        <v>45597.0</v>
      </c>
      <c r="S75" s="45">
        <v>41352.0</v>
      </c>
      <c r="T75" s="42"/>
      <c r="U75" s="48"/>
      <c r="V75" s="1"/>
    </row>
    <row r="76" ht="24.0" customHeight="1">
      <c r="A76" s="1"/>
      <c r="B76" s="37" t="str">
        <f>HYPERLINK("https://www.compass.com/listing/147-48-109th-avenue-queens-ny-11435/501525626637857297/view?agent_id=610d3f3370540700019b0833","147-48 109th Ave")</f>
        <v>147-48 109th Ave</v>
      </c>
      <c r="C76" s="38" t="s">
        <v>36</v>
      </c>
      <c r="D76" s="39" t="s">
        <v>23</v>
      </c>
      <c r="E76" s="40" t="str">
        <f>HYPERLINK("https://www.compass.com/building/147-48-109th-ave-queens-ny-11435/293531578468948293/","147-48 109th Ave")</f>
        <v>147-48 109th Ave</v>
      </c>
      <c r="F76" s="38" t="s">
        <v>24</v>
      </c>
      <c r="G76" s="41">
        <v>300000.0</v>
      </c>
      <c r="H76" s="41">
        <v>173.0</v>
      </c>
      <c r="I76" s="41">
        <v>320.0</v>
      </c>
      <c r="J76" s="41">
        <v>3845.0</v>
      </c>
      <c r="K76" s="38" t="s">
        <v>25</v>
      </c>
      <c r="L76" s="39">
        <v>7.0</v>
      </c>
      <c r="M76" s="39">
        <v>4.0</v>
      </c>
      <c r="N76" s="39">
        <v>1.0</v>
      </c>
      <c r="O76" s="43"/>
      <c r="P76" s="46">
        <v>1736.0</v>
      </c>
      <c r="Q76" s="44">
        <v>246.0</v>
      </c>
      <c r="R76" s="45">
        <v>45597.0</v>
      </c>
      <c r="S76" s="45">
        <v>42156.0</v>
      </c>
      <c r="T76" s="42"/>
      <c r="U76" s="48"/>
      <c r="V76" s="1"/>
    </row>
    <row r="77" ht="24.0" customHeight="1">
      <c r="A77" s="1"/>
      <c r="B77" s="37" t="str">
        <f>HYPERLINK("https://www.compass.com/listing/109-17-pinegrove-street-unit-1-queens-ny-11435/443908941121013321/view?agent_id=610d3f3370540700019b0833","109-17 Pinegrove St, Unit 1")</f>
        <v>109-17 Pinegrove St, Unit 1</v>
      </c>
      <c r="C77" s="38" t="s">
        <v>45</v>
      </c>
      <c r="D77" s="39" t="s">
        <v>23</v>
      </c>
      <c r="E77" s="40" t="str">
        <f>HYPERLINK("https://www.compass.com/building/109-17-pinegrove-st-queens-ny-11435/293530888547986213/","109-17 Pinegrove St")</f>
        <v>109-17 Pinegrove St</v>
      </c>
      <c r="F77" s="38" t="s">
        <v>24</v>
      </c>
      <c r="G77" s="41">
        <v>649000.0</v>
      </c>
      <c r="H77" s="41">
        <v>467.0</v>
      </c>
      <c r="I77" s="41">
        <v>355.0</v>
      </c>
      <c r="J77" s="41">
        <v>4260.0</v>
      </c>
      <c r="K77" s="38" t="s">
        <v>38</v>
      </c>
      <c r="L77" s="39">
        <v>8.0</v>
      </c>
      <c r="M77" s="39">
        <v>4.0</v>
      </c>
      <c r="N77" s="43"/>
      <c r="O77" s="43"/>
      <c r="P77" s="46">
        <v>1390.0</v>
      </c>
      <c r="Q77" s="44">
        <v>32.0</v>
      </c>
      <c r="R77" s="45">
        <v>43896.0</v>
      </c>
      <c r="S77" s="45">
        <v>43863.0</v>
      </c>
      <c r="T77" s="42"/>
      <c r="U77" s="48"/>
      <c r="V77" s="1"/>
    </row>
    <row r="78" ht="24.0" customHeight="1">
      <c r="A78" s="3"/>
      <c r="B78" s="25" t="s">
        <v>26</v>
      </c>
      <c r="C78" s="26"/>
      <c r="D78" s="27"/>
      <c r="E78" s="27"/>
      <c r="F78" s="26"/>
      <c r="G78" s="28">
        <f>IFERROR(__xludf.DUMMYFUNCTION("TO_DOLLARS(IFERROR(AVERAGE(G46:G77)))"),570954.125)</f>
        <v>570954.125</v>
      </c>
      <c r="H78" s="28">
        <f>IFERROR(__xludf.DUMMYFUNCTION("TO_DOLLARS(IFERROR(AVERAGE(H46:H77)))"),362.4230769230769)</f>
        <v>362.4230769</v>
      </c>
      <c r="I78" s="28">
        <f>IFERROR(__xludf.DUMMYFUNCTION("TO_DOLLARS(IFERROR(AVERAGE(I46:I77)))"),280.28125)</f>
        <v>280.28125</v>
      </c>
      <c r="J78" s="28">
        <f>IFERROR(__xludf.DUMMYFUNCTION("TO_DOLLARS(IFERROR(AVERAGE(J46:J77)))"),3363.4375)</f>
        <v>3363.4375</v>
      </c>
      <c r="K78" s="26"/>
      <c r="L78" s="27"/>
      <c r="M78" s="27"/>
      <c r="N78" s="27"/>
      <c r="O78" s="27"/>
      <c r="P78" s="27">
        <f t="shared" ref="P78:Q78" si="7">IFERROR(AVERAGE(P46:P77),"")</f>
        <v>1590.653846</v>
      </c>
      <c r="Q78" s="29">
        <f t="shared" si="7"/>
        <v>133.1875</v>
      </c>
      <c r="R78" s="30"/>
      <c r="S78" s="30"/>
      <c r="T78" s="28">
        <f>IFERROR(__xludf.DUMMYFUNCTION("TO_DOLLARS(IFERROR(AVERAGE(T46:T77)))"),570000.0)</f>
        <v>570000</v>
      </c>
      <c r="U78" s="30"/>
      <c r="V78" s="1"/>
    </row>
    <row r="79" ht="24.0" customHeight="1">
      <c r="A79" s="3"/>
      <c r="B79" s="31" t="s">
        <v>27</v>
      </c>
      <c r="C79" s="32"/>
      <c r="D79" s="33"/>
      <c r="E79" s="33"/>
      <c r="F79" s="32"/>
      <c r="G79" s="34">
        <f>IFERROR(__xludf.DUMMYFUNCTION("TO_DOLLARS(IFERROR(MEDIAN(G46:G77)))"),612499.5)</f>
        <v>612499.5</v>
      </c>
      <c r="H79" s="34">
        <f>IFERROR(__xludf.DUMMYFUNCTION("TO_DOLLARS(IFERROR(MEDIAN(H46:H77)))"),387.0)</f>
        <v>387</v>
      </c>
      <c r="I79" s="34">
        <f>IFERROR(__xludf.DUMMYFUNCTION("TO_DOLLARS(IFERROR(MEDIAN(I46:I77)))"),278.0)</f>
        <v>278</v>
      </c>
      <c r="J79" s="34">
        <f>IFERROR(__xludf.DUMMYFUNCTION("TO_DOLLARS(IFERROR(MEDIAN(J46:J77)))"),3338.5)</f>
        <v>3338.5</v>
      </c>
      <c r="K79" s="32"/>
      <c r="L79" s="33"/>
      <c r="M79" s="33"/>
      <c r="N79" s="33"/>
      <c r="O79" s="33"/>
      <c r="P79" s="33">
        <f t="shared" ref="P79:Q79" si="8">IFERROR(MEDIAN(P46:P77),"")</f>
        <v>1633</v>
      </c>
      <c r="Q79" s="35">
        <f t="shared" si="8"/>
        <v>93.5</v>
      </c>
      <c r="R79" s="36"/>
      <c r="S79" s="36"/>
      <c r="T79" s="34">
        <f>IFERROR(__xludf.DUMMYFUNCTION("TO_DOLLARS(IFERROR(MEDIAN(T46:T77)))"),570000.0)</f>
        <v>570000</v>
      </c>
      <c r="U79" s="36"/>
      <c r="V79" s="1"/>
    </row>
    <row r="80">
      <c r="A80" s="1"/>
      <c r="B80" s="2"/>
      <c r="C80" s="2"/>
      <c r="D80" s="2"/>
      <c r="E80" s="2"/>
      <c r="F80" s="2"/>
      <c r="G80" s="2"/>
      <c r="H80" s="2"/>
      <c r="I80" s="2"/>
      <c r="J80" s="2"/>
      <c r="K80" s="2"/>
      <c r="L80" s="2"/>
      <c r="M80" s="2"/>
      <c r="N80" s="2"/>
      <c r="O80" s="2"/>
      <c r="P80" s="2"/>
      <c r="Q80" s="2"/>
      <c r="R80" s="2"/>
      <c r="S80" s="2"/>
      <c r="T80" s="2"/>
      <c r="U80" s="2"/>
      <c r="V80" s="1"/>
    </row>
    <row r="81">
      <c r="A81" s="1"/>
      <c r="B81" s="2"/>
      <c r="C81" s="2"/>
      <c r="D81" s="2"/>
      <c r="E81" s="2"/>
      <c r="F81" s="2"/>
      <c r="G81" s="2"/>
      <c r="H81" s="2"/>
      <c r="I81" s="2"/>
      <c r="J81" s="2"/>
      <c r="K81" s="2"/>
      <c r="L81" s="2"/>
      <c r="M81" s="2"/>
      <c r="N81" s="2"/>
      <c r="O81" s="2"/>
      <c r="P81" s="2"/>
      <c r="Q81" s="2"/>
      <c r="R81" s="2"/>
      <c r="S81" s="2"/>
      <c r="T81" s="2"/>
      <c r="U81" s="2"/>
      <c r="V81" s="1"/>
    </row>
    <row r="82" ht="18.75" customHeight="1">
      <c r="A82" s="3"/>
      <c r="B82" s="10" t="s">
        <v>46</v>
      </c>
      <c r="C82" s="5"/>
      <c r="D82" s="5"/>
      <c r="E82" s="5"/>
      <c r="F82" s="5"/>
      <c r="G82" s="5"/>
      <c r="H82" s="5"/>
      <c r="I82" s="5"/>
      <c r="J82" s="5"/>
      <c r="K82" s="5"/>
      <c r="L82" s="5"/>
      <c r="M82" s="5"/>
      <c r="N82" s="5"/>
      <c r="O82" s="5"/>
      <c r="P82" s="5"/>
      <c r="Q82" s="5"/>
      <c r="R82" s="5"/>
      <c r="S82" s="5"/>
      <c r="T82" s="5"/>
      <c r="U82" s="6"/>
      <c r="V82" s="1"/>
    </row>
    <row r="83" ht="18.75" customHeight="1">
      <c r="A83" s="3"/>
      <c r="B83" s="49" t="s">
        <v>47</v>
      </c>
      <c r="C83" s="5"/>
      <c r="D83" s="5"/>
      <c r="E83" s="5"/>
      <c r="F83" s="5"/>
      <c r="G83" s="5"/>
      <c r="H83" s="5"/>
      <c r="I83" s="5"/>
      <c r="J83" s="5"/>
      <c r="K83" s="5"/>
      <c r="L83" s="5"/>
      <c r="M83" s="5"/>
      <c r="N83" s="5"/>
      <c r="O83" s="5"/>
      <c r="P83" s="5"/>
      <c r="Q83" s="5"/>
      <c r="R83" s="5"/>
      <c r="S83" s="5"/>
      <c r="T83" s="5"/>
      <c r="U83" s="6"/>
      <c r="V83" s="1"/>
    </row>
    <row r="84" ht="37.5" customHeight="1">
      <c r="A84" s="1"/>
      <c r="B84" s="50"/>
      <c r="C84" s="5"/>
      <c r="D84" s="5"/>
      <c r="E84" s="5"/>
      <c r="F84" s="5"/>
      <c r="G84" s="5"/>
      <c r="H84" s="5"/>
      <c r="I84" s="5"/>
      <c r="J84" s="5"/>
      <c r="K84" s="5"/>
      <c r="L84" s="5"/>
      <c r="M84" s="5"/>
      <c r="N84" s="5"/>
      <c r="O84" s="5"/>
      <c r="P84" s="5"/>
      <c r="Q84" s="5"/>
      <c r="R84" s="5"/>
      <c r="S84" s="5"/>
      <c r="T84" s="5"/>
      <c r="U84" s="6"/>
      <c r="V84" s="1"/>
    </row>
    <row r="85">
      <c r="A85" s="3"/>
      <c r="B85" s="51" t="s">
        <v>48</v>
      </c>
      <c r="C85" s="5"/>
      <c r="D85" s="5"/>
      <c r="E85" s="5"/>
      <c r="F85" s="5"/>
      <c r="G85" s="5"/>
      <c r="H85" s="5"/>
      <c r="I85" s="5"/>
      <c r="J85" s="5"/>
      <c r="K85" s="5"/>
      <c r="L85" s="5"/>
      <c r="M85" s="5"/>
      <c r="N85" s="5"/>
      <c r="O85" s="5"/>
      <c r="P85" s="5"/>
      <c r="Q85" s="5"/>
      <c r="R85" s="5"/>
      <c r="S85" s="5"/>
      <c r="T85" s="5"/>
      <c r="U85" s="6"/>
      <c r="V85" s="1"/>
    </row>
    <row r="86">
      <c r="A86" s="1"/>
      <c r="B86" s="2"/>
      <c r="C86" s="2"/>
      <c r="D86" s="2"/>
      <c r="E86" s="2"/>
      <c r="F86" s="2"/>
      <c r="G86" s="2"/>
      <c r="H86" s="2"/>
      <c r="I86" s="2"/>
      <c r="J86" s="2"/>
      <c r="K86" s="2"/>
      <c r="L86" s="2"/>
      <c r="M86" s="2"/>
      <c r="N86" s="2"/>
      <c r="O86" s="2"/>
      <c r="P86" s="2"/>
      <c r="Q86" s="2"/>
      <c r="R86" s="2"/>
      <c r="S86" s="2"/>
      <c r="T86" s="2"/>
      <c r="U86" s="2"/>
      <c r="V86" s="1"/>
    </row>
  </sheetData>
  <mergeCells count="10">
    <mergeCell ref="B83:U83"/>
    <mergeCell ref="B84:U84"/>
    <mergeCell ref="B85:U85"/>
    <mergeCell ref="B2:U2"/>
    <mergeCell ref="B3:U3"/>
    <mergeCell ref="B4:U4"/>
    <mergeCell ref="B5:U5"/>
    <mergeCell ref="B11:U11"/>
    <mergeCell ref="B44:U44"/>
    <mergeCell ref="B82:U82"/>
  </mergeCells>
  <drawing r:id="rId1"/>
</worksheet>
</file>