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generated at 0150pm on 2" sheetId="1" r:id="rId4"/>
  </sheets>
  <definedNames/>
  <calcPr/>
</workbook>
</file>

<file path=xl/sharedStrings.xml><?xml version="1.0" encoding="utf-8"?>
<sst xmlns="http://schemas.openxmlformats.org/spreadsheetml/2006/main" count="1504" uniqueCount="64">
  <si>
    <t>Property Analysis</t>
  </si>
  <si>
    <t>Active Listings</t>
  </si>
  <si>
    <t>Address</t>
  </si>
  <si>
    <t>Status</t>
  </si>
  <si>
    <t>Listing Type</t>
  </si>
  <si>
    <t>Building</t>
  </si>
  <si>
    <t>Neighborhood</t>
  </si>
  <si>
    <t>Price</t>
  </si>
  <si>
    <t xml:space="preserve">PPSF </t>
  </si>
  <si>
    <t>Monthly Fees + Taxes</t>
  </si>
  <si>
    <t>Annual Taxes</t>
  </si>
  <si>
    <t>Property Type</t>
  </si>
  <si>
    <t>Rooms</t>
  </si>
  <si>
    <t>Beds</t>
  </si>
  <si>
    <t xml:space="preserve">Full Baths </t>
  </si>
  <si>
    <t>Half Baths</t>
  </si>
  <si>
    <t>Total Square Feet</t>
  </si>
  <si>
    <t xml:space="preserve">DOM </t>
  </si>
  <si>
    <t>Updated Date</t>
  </si>
  <si>
    <t>Listed Date</t>
  </si>
  <si>
    <t>Sold Price</t>
  </si>
  <si>
    <t>Sold Date</t>
  </si>
  <si>
    <t>Active</t>
  </si>
  <si>
    <t>Sale</t>
  </si>
  <si>
    <t>Jamaica</t>
  </si>
  <si>
    <t>Single Family</t>
  </si>
  <si>
    <t>Average</t>
  </si>
  <si>
    <t>Median</t>
  </si>
  <si>
    <t>Contract Listings</t>
  </si>
  <si>
    <t>Contract Signed</t>
  </si>
  <si>
    <t>Woodhull Park</t>
  </si>
  <si>
    <t>Condo</t>
  </si>
  <si>
    <t>Townhouse/Single Family</t>
  </si>
  <si>
    <t>Co-op</t>
  </si>
  <si>
    <t>Sold Listings</t>
  </si>
  <si>
    <t>Sold</t>
  </si>
  <si>
    <t>Townhouse/Multi Family/Single Family</t>
  </si>
  <si>
    <t>108-07 Fern Pl</t>
  </si>
  <si>
    <t>110-33 A 159th St</t>
  </si>
  <si>
    <t>Single Family/Townhouse</t>
  </si>
  <si>
    <t>Single Family/Multi Family/Townhouse</t>
  </si>
  <si>
    <t>Townhouse/Multi Family</t>
  </si>
  <si>
    <t>Townhouse/Single Family/Land</t>
  </si>
  <si>
    <t>164-43 Nadal Pl</t>
  </si>
  <si>
    <t>Multi Family/Townhouse</t>
  </si>
  <si>
    <t>Eastwood</t>
  </si>
  <si>
    <t>South Side Park</t>
  </si>
  <si>
    <t>108-23 160th St</t>
  </si>
  <si>
    <t>Townhouse/Condo/Single Family</t>
  </si>
  <si>
    <t>108-27 160th St</t>
  </si>
  <si>
    <t>10819 160th St</t>
  </si>
  <si>
    <t>Other Listings</t>
  </si>
  <si>
    <t>Temporarily Off Market</t>
  </si>
  <si>
    <t>Exclusive Expired</t>
  </si>
  <si>
    <t>Permanently Off Market</t>
  </si>
  <si>
    <t>107-24 170th St</t>
  </si>
  <si>
    <t>Townhouse</t>
  </si>
  <si>
    <t>10827 160th St</t>
  </si>
  <si>
    <t>Mixed Use</t>
  </si>
  <si>
    <t>Multi-Family</t>
  </si>
  <si>
    <t>Multi Family</t>
  </si>
  <si>
    <t>Preliminary Pricing Recommendation:</t>
  </si>
  <si>
    <t>Add notes here</t>
  </si>
  <si>
    <t>Note: The information contained herein does not purport to be complete nor, necessarily, accurate and should be independently verified; nor does it represent or constitute a legal analysis or financial advice. All of the financial projections and/or conclusions are provided for illustration purposes only. Compass and its agents disclaim any and all liability for representations and warranties, express or implied, contained in, or for omissions from, the information contained herein or any other written or oral communication transmitted or made available to the recipient. This represents an estimated sale price for this property. It is not the same as an opinion of value in an appraisal developed by a licensed appraiser under the Uniform Standards of Professional Appraisal Practice.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</si>
</sst>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0"/>
    <numFmt numFmtId="166" formatCode="mm/dd/yyyy"/>
  </numFmts>
  <fonts count="14">
    <font>
      <sz val="10.0"/>
      <color rgb="FF000000"/>
      <name val="Arial"/>
      <scheme val="minor"/>
    </font>
    <font>
      <color theme="1"/>
      <name val="Arial"/>
      <scheme val="minor"/>
    </font>
    <font>
      <color theme="1"/>
      <name val="Helvetica"/>
    </font>
    <font>
      <sz val="24.0"/>
      <color theme="1"/>
      <name val="Helvetica"/>
    </font>
    <font/>
    <font>
      <b/>
      <sz val="13.0"/>
      <color rgb="FF000000"/>
      <name val="Helvetica"/>
    </font>
    <font>
      <b/>
      <sz val="10.0"/>
      <color theme="1"/>
      <name val="Helvetica"/>
    </font>
    <font>
      <u/>
      <sz val="10.0"/>
      <color rgb="FF3D3D3D"/>
      <name val="Helvetica"/>
    </font>
    <font>
      <sz val="10.0"/>
      <color rgb="FF3D3D3D"/>
      <name val="Helvetica"/>
    </font>
    <font>
      <u/>
      <sz val="10.0"/>
      <color rgb="FF3D3D3D"/>
      <name val="Helvetica"/>
    </font>
    <font>
      <u/>
      <sz val="10.0"/>
      <color rgb="FF3D3D3D"/>
      <name val="Helvetica"/>
    </font>
    <font>
      <u/>
      <sz val="10.0"/>
      <color rgb="FF3D3D3D"/>
      <name val="Helvetica"/>
    </font>
    <font>
      <b/>
      <sz val="10.0"/>
      <color rgb="FF000000"/>
      <name val="Helvetica"/>
    </font>
    <font>
      <i/>
      <sz val="12.0"/>
      <color theme="1"/>
      <name val="Helvetica"/>
    </font>
  </fonts>
  <fills count="3">
    <fill>
      <patternFill patternType="none"/>
    </fill>
    <fill>
      <patternFill patternType="lightGray"/>
    </fill>
    <fill>
      <patternFill patternType="solid">
        <fgColor rgb="FFF9F9F9"/>
        <bgColor rgb="FFF9F9F9"/>
      </patternFill>
    </fill>
  </fills>
  <borders count="8">
    <border/>
    <border>
      <left/>
      <right/>
      <top/>
      <bottom/>
    </border>
    <border>
      <left/>
      <top/>
      <bottom/>
    </border>
    <border>
      <top/>
      <bottom/>
    </border>
    <border>
      <right/>
      <top/>
      <bottom/>
    </border>
    <border>
      <left/>
      <right/>
      <top/>
      <bottom style="thin">
        <color rgb="FFF2F2F2"/>
      </bottom>
    </border>
    <border>
      <left/>
      <right/>
      <top style="thin">
        <color rgb="FFF2F2F2"/>
      </top>
      <bottom style="thin">
        <color rgb="FFF2F2F2"/>
      </bottom>
    </border>
    <border>
      <left/>
      <right/>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1" numFmtId="0" xfId="0" applyBorder="1" applyFont="1"/>
    <xf borderId="2" fillId="0" fontId="3" numFmtId="0" xfId="0" applyAlignment="1" applyBorder="1" applyFont="1">
      <alignment horizontal="left" readingOrder="0" vertical="center"/>
    </xf>
    <xf borderId="3" fillId="0" fontId="4" numFmtId="0" xfId="0" applyBorder="1" applyFont="1"/>
    <xf borderId="4" fillId="0" fontId="4" numFmtId="0" xfId="0" applyBorder="1" applyFont="1"/>
    <xf borderId="1" fillId="0" fontId="1" numFmtId="164" xfId="0" applyBorder="1" applyFont="1" applyNumberFormat="1"/>
    <xf borderId="2" fillId="0" fontId="2" numFmtId="164" xfId="0" applyAlignment="1" applyBorder="1" applyFont="1" applyNumberFormat="1">
      <alignment horizontal="left" readingOrder="0" vertical="center"/>
    </xf>
    <xf borderId="2" fillId="0" fontId="2" numFmtId="0" xfId="0" applyAlignment="1" applyBorder="1" applyFont="1">
      <alignment horizontal="center"/>
    </xf>
    <xf borderId="2" fillId="0" fontId="5" numFmtId="0" xfId="0" applyAlignment="1" applyBorder="1" applyFont="1">
      <alignment readingOrder="0" vertical="center"/>
    </xf>
    <xf borderId="1" fillId="2" fontId="6" numFmtId="0" xfId="0" applyAlignment="1" applyBorder="1" applyFill="1" applyFont="1">
      <alignment horizontal="left" readingOrder="0" shrinkToFit="0" vertical="center" wrapText="1"/>
    </xf>
    <xf borderId="1" fillId="2" fontId="6" numFmtId="0" xfId="0" applyAlignment="1" applyBorder="1" applyFont="1">
      <alignment readingOrder="0" shrinkToFit="0" vertical="center" wrapText="1"/>
    </xf>
    <xf borderId="1" fillId="2" fontId="6" numFmtId="0" xfId="0" applyAlignment="1" applyBorder="1" applyFont="1">
      <alignment horizontal="right" readingOrder="0" shrinkToFit="0" vertical="center" wrapText="1"/>
    </xf>
    <xf borderId="5" fillId="0" fontId="7" numFmtId="0" xfId="0" applyAlignment="1" applyBorder="1" applyFont="1">
      <alignment horizontal="left" vertical="center"/>
    </xf>
    <xf borderId="5" fillId="0" fontId="8" numFmtId="0" xfId="0" applyAlignment="1" applyBorder="1" applyFont="1">
      <alignment horizontal="left" readingOrder="0" vertical="center"/>
    </xf>
    <xf borderId="5" fillId="0" fontId="8" numFmtId="0" xfId="0" applyAlignment="1" applyBorder="1" applyFont="1">
      <alignment readingOrder="0" vertical="center"/>
    </xf>
    <xf borderId="5" fillId="0" fontId="9" numFmtId="0" xfId="0" applyAlignment="1" applyBorder="1" applyFont="1">
      <alignment vertical="center"/>
    </xf>
    <xf borderId="5" fillId="0" fontId="8" numFmtId="165" xfId="0" applyAlignment="1" applyBorder="1" applyFont="1" applyNumberFormat="1">
      <alignment horizontal="right" readingOrder="0" vertical="center"/>
    </xf>
    <xf borderId="5" fillId="0" fontId="8" numFmtId="0" xfId="0" applyAlignment="1" applyBorder="1" applyFont="1">
      <alignment vertical="center"/>
    </xf>
    <xf borderId="5" fillId="0" fontId="8" numFmtId="3" xfId="0" applyAlignment="1" applyBorder="1" applyFont="1" applyNumberFormat="1">
      <alignment readingOrder="0" vertical="center"/>
    </xf>
    <xf borderId="5" fillId="0" fontId="8" numFmtId="3" xfId="0" applyAlignment="1" applyBorder="1" applyFont="1" applyNumberFormat="1">
      <alignment horizontal="right" readingOrder="0" vertical="center"/>
    </xf>
    <xf borderId="5" fillId="0" fontId="8" numFmtId="166" xfId="0" applyAlignment="1" applyBorder="1" applyFont="1" applyNumberFormat="1">
      <alignment horizontal="left" readingOrder="0" vertical="center"/>
    </xf>
    <xf borderId="5" fillId="0" fontId="8" numFmtId="165" xfId="0" applyAlignment="1" applyBorder="1" applyFont="1" applyNumberFormat="1">
      <alignment horizontal="right" vertical="center"/>
    </xf>
    <xf borderId="5" fillId="0" fontId="8" numFmtId="166" xfId="0" applyAlignment="1" applyBorder="1" applyFont="1" applyNumberFormat="1">
      <alignment horizontal="left" vertical="center"/>
    </xf>
    <xf borderId="6" fillId="0" fontId="10" numFmtId="0" xfId="0" applyAlignment="1" applyBorder="1" applyFont="1">
      <alignment horizontal="left" vertical="center"/>
    </xf>
    <xf borderId="6" fillId="0" fontId="8" numFmtId="0" xfId="0" applyAlignment="1" applyBorder="1" applyFont="1">
      <alignment horizontal="left" readingOrder="0" vertical="center"/>
    </xf>
    <xf borderId="6" fillId="0" fontId="8" numFmtId="0" xfId="0" applyAlignment="1" applyBorder="1" applyFont="1">
      <alignment readingOrder="0" vertical="center"/>
    </xf>
    <xf borderId="6" fillId="0" fontId="11" numFmtId="0" xfId="0" applyAlignment="1" applyBorder="1" applyFont="1">
      <alignment vertical="center"/>
    </xf>
    <xf borderId="6" fillId="0" fontId="8" numFmtId="165" xfId="0" applyAlignment="1" applyBorder="1" applyFont="1" applyNumberFormat="1">
      <alignment horizontal="right" readingOrder="0" vertical="center"/>
    </xf>
    <xf borderId="6" fillId="0" fontId="8" numFmtId="0" xfId="0" applyAlignment="1" applyBorder="1" applyFont="1">
      <alignment vertical="center"/>
    </xf>
    <xf borderId="6" fillId="0" fontId="8" numFmtId="3" xfId="0" applyAlignment="1" applyBorder="1" applyFont="1" applyNumberFormat="1">
      <alignment readingOrder="0" vertical="center"/>
    </xf>
    <xf borderId="6" fillId="0" fontId="8" numFmtId="3" xfId="0" applyAlignment="1" applyBorder="1" applyFont="1" applyNumberFormat="1">
      <alignment horizontal="right" readingOrder="0" vertical="center"/>
    </xf>
    <xf borderId="6" fillId="0" fontId="8" numFmtId="166" xfId="0" applyAlignment="1" applyBorder="1" applyFont="1" applyNumberFormat="1">
      <alignment horizontal="left" readingOrder="0" vertical="center"/>
    </xf>
    <xf borderId="6" fillId="0" fontId="8" numFmtId="165" xfId="0" applyAlignment="1" applyBorder="1" applyFont="1" applyNumberFormat="1">
      <alignment horizontal="right" vertical="center"/>
    </xf>
    <xf borderId="6" fillId="0" fontId="8" numFmtId="166" xfId="0" applyAlignment="1" applyBorder="1" applyFont="1" applyNumberFormat="1">
      <alignment horizontal="left" vertical="center"/>
    </xf>
    <xf borderId="7" fillId="0" fontId="12" numFmtId="0" xfId="0" applyAlignment="1" applyBorder="1" applyFont="1">
      <alignment horizontal="left" readingOrder="0" vertical="center"/>
    </xf>
    <xf borderId="7" fillId="0" fontId="12" numFmtId="0" xfId="0" applyAlignment="1" applyBorder="1" applyFont="1">
      <alignment horizontal="left" vertical="center"/>
    </xf>
    <xf borderId="7" fillId="0" fontId="12" numFmtId="0" xfId="0" applyAlignment="1" applyBorder="1" applyFont="1">
      <alignment vertical="center"/>
    </xf>
    <xf borderId="7" fillId="0" fontId="12" numFmtId="165" xfId="0" applyAlignment="1" applyBorder="1" applyFont="1" applyNumberFormat="1">
      <alignment horizontal="right" vertical="center"/>
    </xf>
    <xf borderId="7" fillId="0" fontId="12" numFmtId="3" xfId="0" applyAlignment="1" applyBorder="1" applyFont="1" applyNumberFormat="1">
      <alignment horizontal="right" vertical="center"/>
    </xf>
    <xf borderId="7" fillId="0" fontId="12" numFmtId="166" xfId="0" applyAlignment="1" applyBorder="1" applyFont="1" applyNumberFormat="1">
      <alignment horizontal="left" vertical="center"/>
    </xf>
    <xf borderId="1" fillId="0" fontId="12" numFmtId="0" xfId="0" applyAlignment="1" applyBorder="1" applyFont="1">
      <alignment horizontal="left" readingOrder="0" vertical="center"/>
    </xf>
    <xf borderId="1" fillId="0" fontId="12" numFmtId="0" xfId="0" applyAlignment="1" applyBorder="1" applyFont="1">
      <alignment horizontal="left" vertical="center"/>
    </xf>
    <xf borderId="1" fillId="0" fontId="12" numFmtId="0" xfId="0" applyAlignment="1" applyBorder="1" applyFont="1">
      <alignment vertical="center"/>
    </xf>
    <xf borderId="1" fillId="0" fontId="12" numFmtId="165" xfId="0" applyAlignment="1" applyBorder="1" applyFont="1" applyNumberFormat="1">
      <alignment horizontal="right" vertical="center"/>
    </xf>
    <xf borderId="1" fillId="0" fontId="12" numFmtId="3" xfId="0" applyAlignment="1" applyBorder="1" applyFont="1" applyNumberFormat="1">
      <alignment horizontal="right" vertical="center"/>
    </xf>
    <xf borderId="1" fillId="0" fontId="12" numFmtId="166" xfId="0" applyAlignment="1" applyBorder="1" applyFont="1" applyNumberFormat="1">
      <alignment horizontal="left" vertical="center"/>
    </xf>
    <xf borderId="6" fillId="0" fontId="8" numFmtId="3" xfId="0" applyAlignment="1" applyBorder="1" applyFont="1" applyNumberFormat="1">
      <alignment horizontal="right" vertical="center"/>
    </xf>
    <xf borderId="6" fillId="0" fontId="8" numFmtId="0" xfId="0" applyAlignment="1" applyBorder="1" applyFont="1">
      <alignment horizontal="left" vertical="center"/>
    </xf>
    <xf borderId="2" fillId="0" fontId="2" numFmtId="0" xfId="0" applyAlignment="1" applyBorder="1" applyFont="1">
      <alignment readingOrder="0" vertical="center"/>
    </xf>
    <xf borderId="2" fillId="0" fontId="2" numFmtId="0" xfId="0" applyBorder="1" applyFont="1"/>
    <xf borderId="2"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31.38"/>
    <col customWidth="1" min="3" max="3" width="20.63"/>
    <col customWidth="1" min="4" max="4" width="12.25"/>
    <col customWidth="1" min="5" max="5" width="24.75"/>
    <col customWidth="1" min="6" max="6" width="14.88"/>
    <col customWidth="1" min="7" max="7" width="10.38"/>
    <col customWidth="1" min="8" max="8" width="8.38"/>
    <col customWidth="1" min="9" max="9" width="15.0"/>
    <col customWidth="1" min="10" max="10" width="13.13"/>
    <col customWidth="1" min="11" max="11" width="31.5"/>
    <col customWidth="1" min="12" max="12" width="8.5"/>
    <col customWidth="1" min="13" max="13" width="7.13"/>
    <col customWidth="1" min="14" max="15" width="11.13"/>
    <col customWidth="1" min="16" max="16" width="13.25"/>
    <col customWidth="1" min="17" max="17" width="7.5"/>
    <col customWidth="1" min="18" max="18" width="13.25"/>
    <col customWidth="1" min="19" max="19" width="12.13"/>
    <col customWidth="1" min="20" max="20" width="10.88"/>
    <col customWidth="1" min="21" max="21" width="12.13"/>
    <col customWidth="1" min="22" max="22" width="5.13"/>
  </cols>
  <sheetData>
    <row r="1">
      <c r="A1" s="1"/>
      <c r="B1" s="2"/>
      <c r="C1" s="2"/>
      <c r="D1" s="2"/>
      <c r="E1" s="2"/>
      <c r="F1" s="2"/>
      <c r="G1" s="2"/>
      <c r="H1" s="2"/>
      <c r="I1" s="2"/>
      <c r="J1" s="2"/>
      <c r="K1" s="2"/>
      <c r="L1" s="2"/>
      <c r="M1" s="2"/>
      <c r="N1" s="2"/>
      <c r="O1" s="2"/>
      <c r="P1" s="2"/>
      <c r="Q1" s="2"/>
      <c r="R1" s="2"/>
      <c r="S1" s="2"/>
      <c r="T1" s="2"/>
      <c r="U1" s="2"/>
      <c r="V1" s="1"/>
    </row>
    <row r="2" ht="37.5" customHeight="1">
      <c r="A2" s="3"/>
      <c r="B2" s="4" t="s">
        <v>0</v>
      </c>
      <c r="C2" s="5"/>
      <c r="D2" s="5"/>
      <c r="E2" s="5"/>
      <c r="F2" s="5"/>
      <c r="G2" s="5"/>
      <c r="H2" s="5"/>
      <c r="I2" s="5"/>
      <c r="J2" s="5"/>
      <c r="K2" s="5"/>
      <c r="L2" s="5"/>
      <c r="M2" s="5"/>
      <c r="N2" s="5"/>
      <c r="O2" s="5"/>
      <c r="P2" s="5"/>
      <c r="Q2" s="5"/>
      <c r="R2" s="5"/>
      <c r="S2" s="5"/>
      <c r="T2" s="5"/>
      <c r="U2" s="6"/>
      <c r="V2" s="1"/>
    </row>
    <row r="3" ht="18.75" customHeight="1">
      <c r="A3" s="7"/>
      <c r="B3" s="8">
        <v>45863.0</v>
      </c>
      <c r="C3" s="5"/>
      <c r="D3" s="5"/>
      <c r="E3" s="5"/>
      <c r="F3" s="5"/>
      <c r="G3" s="5"/>
      <c r="H3" s="5"/>
      <c r="I3" s="5"/>
      <c r="J3" s="5"/>
      <c r="K3" s="5"/>
      <c r="L3" s="5"/>
      <c r="M3" s="5"/>
      <c r="N3" s="5"/>
      <c r="O3" s="5"/>
      <c r="P3" s="5"/>
      <c r="Q3" s="5"/>
      <c r="R3" s="5"/>
      <c r="S3" s="5"/>
      <c r="T3" s="5"/>
      <c r="U3" s="6"/>
      <c r="V3" s="1"/>
    </row>
    <row r="4" ht="37.5" customHeight="1">
      <c r="A4" s="1"/>
      <c r="B4" s="9"/>
      <c r="C4" s="5"/>
      <c r="D4" s="5"/>
      <c r="E4" s="5"/>
      <c r="F4" s="5"/>
      <c r="G4" s="5"/>
      <c r="H4" s="5"/>
      <c r="I4" s="5"/>
      <c r="J4" s="5"/>
      <c r="K4" s="5"/>
      <c r="L4" s="5"/>
      <c r="M4" s="5"/>
      <c r="N4" s="5"/>
      <c r="O4" s="5"/>
      <c r="P4" s="5"/>
      <c r="Q4" s="5"/>
      <c r="R4" s="5"/>
      <c r="S4" s="5"/>
      <c r="T4" s="5"/>
      <c r="U4" s="6"/>
      <c r="V4" s="1"/>
    </row>
    <row r="5" ht="24.0" customHeight="1">
      <c r="A5" s="3"/>
      <c r="B5" s="10" t="s">
        <v>1</v>
      </c>
      <c r="C5" s="5"/>
      <c r="D5" s="5"/>
      <c r="E5" s="5"/>
      <c r="F5" s="5"/>
      <c r="G5" s="5"/>
      <c r="H5" s="5"/>
      <c r="I5" s="5"/>
      <c r="J5" s="5"/>
      <c r="K5" s="5"/>
      <c r="L5" s="5"/>
      <c r="M5" s="5"/>
      <c r="N5" s="5"/>
      <c r="O5" s="5"/>
      <c r="P5" s="5"/>
      <c r="Q5" s="5"/>
      <c r="R5" s="5"/>
      <c r="S5" s="5"/>
      <c r="T5" s="5"/>
      <c r="U5" s="6"/>
      <c r="V5" s="1"/>
    </row>
    <row r="6" ht="24.0" customHeight="1">
      <c r="A6" s="3"/>
      <c r="B6" s="11" t="s">
        <v>2</v>
      </c>
      <c r="C6" s="11" t="s">
        <v>3</v>
      </c>
      <c r="D6" s="12" t="s">
        <v>4</v>
      </c>
      <c r="E6" s="12" t="s">
        <v>5</v>
      </c>
      <c r="F6" s="11" t="s">
        <v>6</v>
      </c>
      <c r="G6" s="13" t="s">
        <v>7</v>
      </c>
      <c r="H6" s="13" t="s">
        <v>8</v>
      </c>
      <c r="I6" s="13" t="s">
        <v>9</v>
      </c>
      <c r="J6" s="13" t="s">
        <v>10</v>
      </c>
      <c r="K6" s="11" t="s">
        <v>11</v>
      </c>
      <c r="L6" s="12" t="s">
        <v>12</v>
      </c>
      <c r="M6" s="12" t="s">
        <v>13</v>
      </c>
      <c r="N6" s="12" t="s">
        <v>14</v>
      </c>
      <c r="O6" s="12" t="s">
        <v>15</v>
      </c>
      <c r="P6" s="12" t="s">
        <v>16</v>
      </c>
      <c r="Q6" s="13" t="s">
        <v>17</v>
      </c>
      <c r="R6" s="11" t="s">
        <v>18</v>
      </c>
      <c r="S6" s="11" t="s">
        <v>19</v>
      </c>
      <c r="T6" s="13" t="s">
        <v>20</v>
      </c>
      <c r="U6" s="11" t="s">
        <v>21</v>
      </c>
      <c r="V6" s="1"/>
    </row>
    <row r="7" ht="24.0" customHeight="1">
      <c r="A7" s="1"/>
      <c r="B7" s="14" t="str">
        <f>HYPERLINK("https://www.compass.com/listing/167-10-111th-avenue-queens-ny-11433/1880006743586544641/view?agent_id=610d3f3370540700019b0833","167-10 111th Avenue")</f>
        <v>167-10 111th Avenue</v>
      </c>
      <c r="C7" s="15" t="s">
        <v>22</v>
      </c>
      <c r="D7" s="16" t="s">
        <v>23</v>
      </c>
      <c r="E7" s="17" t="str">
        <f>HYPERLINK("https://www.compass.com/building/167-10-111th-ave-queens-ny-11433/293535493012900597/","167-10 111th Ave")</f>
        <v>167-10 111th Ave</v>
      </c>
      <c r="F7" s="15" t="s">
        <v>24</v>
      </c>
      <c r="G7" s="18">
        <v>685000.0</v>
      </c>
      <c r="H7" s="18">
        <v>441.0</v>
      </c>
      <c r="I7" s="18">
        <v>309.0</v>
      </c>
      <c r="J7" s="18">
        <v>3713.0</v>
      </c>
      <c r="K7" s="15" t="s">
        <v>25</v>
      </c>
      <c r="L7" s="16">
        <v>6.0</v>
      </c>
      <c r="M7" s="16">
        <v>3.0</v>
      </c>
      <c r="N7" s="16">
        <v>1.0</v>
      </c>
      <c r="O7" s="19"/>
      <c r="P7" s="20">
        <v>1552.0</v>
      </c>
      <c r="Q7" s="21">
        <v>11.0</v>
      </c>
      <c r="R7" s="22">
        <v>45852.0</v>
      </c>
      <c r="S7" s="22">
        <v>45852.0</v>
      </c>
      <c r="T7" s="23"/>
      <c r="U7" s="24"/>
      <c r="V7" s="1"/>
    </row>
    <row r="8" ht="24.0" customHeight="1">
      <c r="A8" s="1"/>
      <c r="B8" s="25" t="str">
        <f>HYPERLINK("https://www.compass.com/listing/109-09-169th-place-queens-ny-11433/1876217509401466441/view?agent_id=610d3f3370540700019b0833","109-09 169th Place")</f>
        <v>109-09 169th Place</v>
      </c>
      <c r="C8" s="26" t="s">
        <v>22</v>
      </c>
      <c r="D8" s="27" t="s">
        <v>23</v>
      </c>
      <c r="E8" s="28" t="str">
        <f>HYPERLINK("https://www.compass.com/building/109-09-169th-pl-queens-ny-11433/293534769336042421/","109-09 169th Pl")</f>
        <v>109-09 169th Pl</v>
      </c>
      <c r="F8" s="26" t="s">
        <v>24</v>
      </c>
      <c r="G8" s="29">
        <v>500000.0</v>
      </c>
      <c r="H8" s="29">
        <v>372.0</v>
      </c>
      <c r="I8" s="29">
        <v>324.0</v>
      </c>
      <c r="J8" s="29">
        <v>3886.0</v>
      </c>
      <c r="K8" s="26" t="s">
        <v>25</v>
      </c>
      <c r="L8" s="27">
        <v>6.0</v>
      </c>
      <c r="M8" s="27">
        <v>3.0</v>
      </c>
      <c r="N8" s="27">
        <v>1.0</v>
      </c>
      <c r="O8" s="30"/>
      <c r="P8" s="31">
        <v>1343.0</v>
      </c>
      <c r="Q8" s="32">
        <v>23.0</v>
      </c>
      <c r="R8" s="33">
        <v>45841.0</v>
      </c>
      <c r="S8" s="33">
        <v>45840.0</v>
      </c>
      <c r="T8" s="34"/>
      <c r="U8" s="35"/>
      <c r="V8" s="1"/>
    </row>
    <row r="9" ht="24.0" customHeight="1">
      <c r="A9" s="1"/>
      <c r="B9" s="25" t="str">
        <f>HYPERLINK("https://www.compass.com/listing/171-31-103rd-road-queens-ny-11433/1857991627339136465/view?agent_id=610d3f3370540700019b0833","171-31 103rd Road")</f>
        <v>171-31 103rd Road</v>
      </c>
      <c r="C9" s="26" t="s">
        <v>22</v>
      </c>
      <c r="D9" s="27" t="s">
        <v>23</v>
      </c>
      <c r="E9" s="28" t="str">
        <f>HYPERLINK("https://www.compass.com/building/171-31-103rd-rd-queens-ny-11433/293527419330087077/","171-31 103rd Rd")</f>
        <v>171-31 103rd Rd</v>
      </c>
      <c r="F9" s="26" t="s">
        <v>24</v>
      </c>
      <c r="G9" s="29">
        <v>649000.0</v>
      </c>
      <c r="H9" s="29">
        <v>516.0</v>
      </c>
      <c r="I9" s="29">
        <v>366.0</v>
      </c>
      <c r="J9" s="29">
        <v>4394.0</v>
      </c>
      <c r="K9" s="26" t="s">
        <v>25</v>
      </c>
      <c r="L9" s="27">
        <v>6.0</v>
      </c>
      <c r="M9" s="27">
        <v>3.0</v>
      </c>
      <c r="N9" s="27">
        <v>1.0</v>
      </c>
      <c r="O9" s="30"/>
      <c r="P9" s="31">
        <v>1258.0</v>
      </c>
      <c r="Q9" s="32">
        <v>48.0</v>
      </c>
      <c r="R9" s="33">
        <v>45816.0</v>
      </c>
      <c r="S9" s="33">
        <v>45815.0</v>
      </c>
      <c r="T9" s="34"/>
      <c r="U9" s="35"/>
      <c r="V9" s="1"/>
    </row>
    <row r="10" ht="24.0" customHeight="1">
      <c r="A10" s="1"/>
      <c r="B10" s="25" t="str">
        <f>HYPERLINK("https://www.compass.com/listing/172-18-111th-avenue-queens-ny-11433/1845169973042096561/view?agent_id=610d3f3370540700019b0833","172-18 111th Avenue")</f>
        <v>172-18 111th Avenue</v>
      </c>
      <c r="C10" s="26" t="s">
        <v>22</v>
      </c>
      <c r="D10" s="27" t="s">
        <v>23</v>
      </c>
      <c r="E10" s="28" t="str">
        <f>HYPERLINK("https://www.compass.com/building/172-18-111th-ave-queens-ny-11433/293528014619235461/","172-18 111th Ave")</f>
        <v>172-18 111th Ave</v>
      </c>
      <c r="F10" s="26" t="s">
        <v>24</v>
      </c>
      <c r="G10" s="29">
        <v>599990.0</v>
      </c>
      <c r="H10" s="29">
        <v>392.0</v>
      </c>
      <c r="I10" s="29">
        <v>473.0</v>
      </c>
      <c r="J10" s="29">
        <v>5678.0</v>
      </c>
      <c r="K10" s="26" t="s">
        <v>25</v>
      </c>
      <c r="L10" s="27">
        <v>6.0</v>
      </c>
      <c r="M10" s="27">
        <v>3.0</v>
      </c>
      <c r="N10" s="27">
        <v>1.0</v>
      </c>
      <c r="O10" s="30"/>
      <c r="P10" s="31">
        <v>1530.0</v>
      </c>
      <c r="Q10" s="32">
        <v>50.0</v>
      </c>
      <c r="R10" s="33">
        <v>45814.0</v>
      </c>
      <c r="S10" s="33">
        <v>45810.0</v>
      </c>
      <c r="T10" s="34"/>
      <c r="U10" s="35"/>
      <c r="V10" s="1"/>
    </row>
    <row r="11" ht="24.0" customHeight="1">
      <c r="A11" s="1"/>
      <c r="B11" s="25" t="str">
        <f>HYPERLINK("https://www.compass.com/listing/110-17-178th-street-queens-ny-11433/1840753396758730297/view?agent_id=610d3f3370540700019b0833","110-17 178th Street")</f>
        <v>110-17 178th Street</v>
      </c>
      <c r="C11" s="26" t="s">
        <v>22</v>
      </c>
      <c r="D11" s="27" t="s">
        <v>23</v>
      </c>
      <c r="E11" s="28" t="str">
        <f>HYPERLINK("https://www.compass.com/building/110-17-178th-st-queens-ny-11433/293535218948710581/","110-17 178th St")</f>
        <v>110-17 178th St</v>
      </c>
      <c r="F11" s="26" t="s">
        <v>24</v>
      </c>
      <c r="G11" s="29">
        <v>725000.0</v>
      </c>
      <c r="H11" s="29">
        <v>448.0</v>
      </c>
      <c r="I11" s="29">
        <v>384.0</v>
      </c>
      <c r="J11" s="29">
        <v>4608.0</v>
      </c>
      <c r="K11" s="26" t="s">
        <v>25</v>
      </c>
      <c r="L11" s="27">
        <v>7.0</v>
      </c>
      <c r="M11" s="27">
        <v>3.0</v>
      </c>
      <c r="N11" s="27">
        <v>1.0</v>
      </c>
      <c r="O11" s="30"/>
      <c r="P11" s="31">
        <v>1620.0</v>
      </c>
      <c r="Q11" s="32">
        <v>73.0</v>
      </c>
      <c r="R11" s="33">
        <v>45794.0</v>
      </c>
      <c r="S11" s="33">
        <v>45790.0</v>
      </c>
      <c r="T11" s="34"/>
      <c r="U11" s="35"/>
      <c r="V11" s="1"/>
    </row>
    <row r="12" ht="24.0" customHeight="1">
      <c r="A12" s="1"/>
      <c r="B12" s="25" t="str">
        <f>HYPERLINK("https://www.compass.com/listing/108-46-171st-place-queens-ny-11433/1688605011708528177/view?agent_id=610d3f3370540700019b0833","108-46 171st Place")</f>
        <v>108-46 171st Place</v>
      </c>
      <c r="C12" s="26" t="s">
        <v>22</v>
      </c>
      <c r="D12" s="27" t="s">
        <v>23</v>
      </c>
      <c r="E12" s="28" t="str">
        <f>HYPERLINK("https://www.compass.com/building/108-46-171st-pl-queens-ny-11433/293529387884633573/","108-46 171st Pl")</f>
        <v>108-46 171st Pl</v>
      </c>
      <c r="F12" s="26" t="s">
        <v>24</v>
      </c>
      <c r="G12" s="29">
        <v>615000.0</v>
      </c>
      <c r="H12" s="29">
        <v>198.0</v>
      </c>
      <c r="I12" s="29">
        <v>417.0</v>
      </c>
      <c r="J12" s="29">
        <v>5000.0</v>
      </c>
      <c r="K12" s="26" t="s">
        <v>25</v>
      </c>
      <c r="L12" s="27">
        <v>6.0</v>
      </c>
      <c r="M12" s="27">
        <v>3.0</v>
      </c>
      <c r="N12" s="27">
        <v>1.0</v>
      </c>
      <c r="O12" s="30"/>
      <c r="P12" s="31">
        <v>3100.0</v>
      </c>
      <c r="Q12" s="32">
        <v>182.0</v>
      </c>
      <c r="R12" s="33">
        <v>45848.0</v>
      </c>
      <c r="S12" s="33">
        <v>45581.0</v>
      </c>
      <c r="T12" s="34"/>
      <c r="U12" s="35"/>
      <c r="V12" s="1"/>
    </row>
    <row r="13" ht="24.0" customHeight="1">
      <c r="A13" s="1"/>
      <c r="B13" s="25" t="str">
        <f>HYPERLINK("https://www.compass.com/listing/153-31-89th-avenue-queens-ny-11432/1626257801783036353/view?agent_id=610d3f3370540700019b0833","153-31 89th Avenue")</f>
        <v>153-31 89th Avenue</v>
      </c>
      <c r="C13" s="26" t="s">
        <v>22</v>
      </c>
      <c r="D13" s="27" t="s">
        <v>23</v>
      </c>
      <c r="E13" s="28" t="str">
        <f>HYPERLINK("https://www.compass.com/building/153-31-89th-ave-queens-ny-11432/293530413492668149/","153-31 89th Ave")</f>
        <v>153-31 89th Ave</v>
      </c>
      <c r="F13" s="26" t="s">
        <v>24</v>
      </c>
      <c r="G13" s="29">
        <v>750000.0</v>
      </c>
      <c r="H13" s="29">
        <v>398.0</v>
      </c>
      <c r="I13" s="29">
        <v>431.0</v>
      </c>
      <c r="J13" s="29">
        <v>5176.0</v>
      </c>
      <c r="K13" s="26" t="s">
        <v>25</v>
      </c>
      <c r="L13" s="27">
        <v>7.0</v>
      </c>
      <c r="M13" s="27">
        <v>3.0</v>
      </c>
      <c r="N13" s="27">
        <v>1.0</v>
      </c>
      <c r="O13" s="30"/>
      <c r="P13" s="31">
        <v>1886.0</v>
      </c>
      <c r="Q13" s="32">
        <v>370.0</v>
      </c>
      <c r="R13" s="33">
        <v>45628.0</v>
      </c>
      <c r="S13" s="33">
        <v>45492.0</v>
      </c>
      <c r="T13" s="34"/>
      <c r="U13" s="35"/>
      <c r="V13" s="1"/>
    </row>
    <row r="14" ht="24.0" customHeight="1">
      <c r="A14" s="3"/>
      <c r="B14" s="36" t="s">
        <v>26</v>
      </c>
      <c r="C14" s="37"/>
      <c r="D14" s="38"/>
      <c r="E14" s="38"/>
      <c r="F14" s="37"/>
      <c r="G14" s="39">
        <f>IFERROR(__xludf.DUMMYFUNCTION("TO_DOLLARS(IFERROR(AVERAGE(G7:G13)))"),646284.2857142857)</f>
        <v>646284.2857</v>
      </c>
      <c r="H14" s="39">
        <f>IFERROR(__xludf.DUMMYFUNCTION("TO_DOLLARS(IFERROR(AVERAGE(H7:H13)))"),395.0)</f>
        <v>395</v>
      </c>
      <c r="I14" s="39">
        <f>IFERROR(__xludf.DUMMYFUNCTION("TO_DOLLARS(IFERROR(AVERAGE(I7:I13)))"),386.2857142857143)</f>
        <v>386.2857143</v>
      </c>
      <c r="J14" s="39">
        <f>IFERROR(__xludf.DUMMYFUNCTION("TO_DOLLARS(IFERROR(AVERAGE(J7:J13)))"),4636.428571428572)</f>
        <v>4636.428571</v>
      </c>
      <c r="K14" s="37"/>
      <c r="L14" s="38"/>
      <c r="M14" s="38"/>
      <c r="N14" s="38"/>
      <c r="O14" s="38"/>
      <c r="P14" s="38">
        <f t="shared" ref="P14:Q14" si="1">IFERROR(AVERAGE(P7:P13),"")</f>
        <v>1755.571429</v>
      </c>
      <c r="Q14" s="40">
        <f t="shared" si="1"/>
        <v>108.1428571</v>
      </c>
      <c r="R14" s="41"/>
      <c r="S14" s="41"/>
      <c r="T14" s="39" t="str">
        <f>IFERROR(__xludf.DUMMYFUNCTION("TO_DOLLARS(IFERROR(AVERAGE(T7:T13)))"),"")</f>
        <v/>
      </c>
      <c r="U14" s="41"/>
      <c r="V14" s="1"/>
    </row>
    <row r="15" ht="24.0" customHeight="1">
      <c r="A15" s="3"/>
      <c r="B15" s="42" t="s">
        <v>27</v>
      </c>
      <c r="C15" s="43"/>
      <c r="D15" s="44"/>
      <c r="E15" s="44"/>
      <c r="F15" s="43"/>
      <c r="G15" s="45">
        <f>IFERROR(__xludf.DUMMYFUNCTION("TO_DOLLARS(IFERROR(MEDIAN(G7:G13)))"),649000.0)</f>
        <v>649000</v>
      </c>
      <c r="H15" s="45">
        <f>IFERROR(__xludf.DUMMYFUNCTION("TO_DOLLARS(IFERROR(MEDIAN(H7:H13)))"),398.0)</f>
        <v>398</v>
      </c>
      <c r="I15" s="45">
        <f>IFERROR(__xludf.DUMMYFUNCTION("TO_DOLLARS(IFERROR(MEDIAN(I7:I13)))"),384.0)</f>
        <v>384</v>
      </c>
      <c r="J15" s="45">
        <f>IFERROR(__xludf.DUMMYFUNCTION("TO_DOLLARS(IFERROR(MEDIAN(J7:J13)))"),4608.0)</f>
        <v>4608</v>
      </c>
      <c r="K15" s="43"/>
      <c r="L15" s="44"/>
      <c r="M15" s="44"/>
      <c r="N15" s="44"/>
      <c r="O15" s="44"/>
      <c r="P15" s="44">
        <f t="shared" ref="P15:Q15" si="2">IFERROR(MEDIAN(P7:P13),"")</f>
        <v>1552</v>
      </c>
      <c r="Q15" s="46">
        <f t="shared" si="2"/>
        <v>50</v>
      </c>
      <c r="R15" s="47"/>
      <c r="S15" s="47"/>
      <c r="T15" s="45" t="str">
        <f>IFERROR(__xludf.DUMMYFUNCTION("TO_DOLLARS(IFERROR(MEDIAN(T7:T13)))"),"")</f>
        <v/>
      </c>
      <c r="U15" s="47"/>
      <c r="V15" s="1"/>
    </row>
    <row r="16">
      <c r="A16" s="1"/>
      <c r="B16" s="2"/>
      <c r="C16" s="2"/>
      <c r="D16" s="2"/>
      <c r="E16" s="2"/>
      <c r="F16" s="2"/>
      <c r="G16" s="2"/>
      <c r="H16" s="2"/>
      <c r="I16" s="2"/>
      <c r="J16" s="2"/>
      <c r="K16" s="2"/>
      <c r="L16" s="2"/>
      <c r="M16" s="2"/>
      <c r="N16" s="2"/>
      <c r="O16" s="2"/>
      <c r="P16" s="2"/>
      <c r="Q16" s="2"/>
      <c r="R16" s="2"/>
      <c r="S16" s="2"/>
      <c r="T16" s="2"/>
      <c r="U16" s="2"/>
      <c r="V16" s="1"/>
    </row>
    <row r="17" ht="24.0" customHeight="1">
      <c r="A17" s="3"/>
      <c r="B17" s="10" t="s">
        <v>28</v>
      </c>
      <c r="C17" s="5"/>
      <c r="D17" s="5"/>
      <c r="E17" s="5"/>
      <c r="F17" s="5"/>
      <c r="G17" s="5"/>
      <c r="H17" s="5"/>
      <c r="I17" s="5"/>
      <c r="J17" s="5"/>
      <c r="K17" s="5"/>
      <c r="L17" s="5"/>
      <c r="M17" s="5"/>
      <c r="N17" s="5"/>
      <c r="O17" s="5"/>
      <c r="P17" s="5"/>
      <c r="Q17" s="5"/>
      <c r="R17" s="5"/>
      <c r="S17" s="5"/>
      <c r="T17" s="5"/>
      <c r="U17" s="6"/>
      <c r="V17" s="1"/>
    </row>
    <row r="18" ht="24.0" customHeight="1">
      <c r="A18" s="3"/>
      <c r="B18" s="11" t="s">
        <v>2</v>
      </c>
      <c r="C18" s="11" t="s">
        <v>3</v>
      </c>
      <c r="D18" s="12" t="s">
        <v>4</v>
      </c>
      <c r="E18" s="12" t="s">
        <v>5</v>
      </c>
      <c r="F18" s="11" t="s">
        <v>6</v>
      </c>
      <c r="G18" s="13" t="s">
        <v>7</v>
      </c>
      <c r="H18" s="13" t="s">
        <v>8</v>
      </c>
      <c r="I18" s="13" t="s">
        <v>9</v>
      </c>
      <c r="J18" s="13" t="s">
        <v>10</v>
      </c>
      <c r="K18" s="11" t="s">
        <v>11</v>
      </c>
      <c r="L18" s="12" t="s">
        <v>12</v>
      </c>
      <c r="M18" s="12" t="s">
        <v>13</v>
      </c>
      <c r="N18" s="12" t="s">
        <v>14</v>
      </c>
      <c r="O18" s="12" t="s">
        <v>15</v>
      </c>
      <c r="P18" s="12" t="s">
        <v>16</v>
      </c>
      <c r="Q18" s="13" t="s">
        <v>17</v>
      </c>
      <c r="R18" s="11" t="s">
        <v>18</v>
      </c>
      <c r="S18" s="11" t="s">
        <v>19</v>
      </c>
      <c r="T18" s="13" t="s">
        <v>20</v>
      </c>
      <c r="U18" s="11" t="s">
        <v>21</v>
      </c>
      <c r="V18" s="1"/>
    </row>
    <row r="19" ht="24.0" customHeight="1">
      <c r="A19" s="1"/>
      <c r="B19" s="14" t="str">
        <f>HYPERLINK("https://www.compass.com/listing/173-12-93rd-avenue-queens-ny-11433/1857345458603070825/view?agent_id=610d3f3370540700019b0833","173-12 93rd Avenue")</f>
        <v>173-12 93rd Avenue</v>
      </c>
      <c r="C19" s="15" t="s">
        <v>29</v>
      </c>
      <c r="D19" s="16" t="s">
        <v>23</v>
      </c>
      <c r="E19" s="17" t="str">
        <f>HYPERLINK("https://www.compass.com/building/173-12-93rd-ave-queens-ny-11433/293531912436220181/","173-12 93rd Ave")</f>
        <v>173-12 93rd Ave</v>
      </c>
      <c r="F19" s="15" t="s">
        <v>30</v>
      </c>
      <c r="G19" s="18">
        <v>699000.0</v>
      </c>
      <c r="H19" s="18">
        <v>460.0</v>
      </c>
      <c r="I19" s="18">
        <v>360.0</v>
      </c>
      <c r="J19" s="18">
        <v>4318.0</v>
      </c>
      <c r="K19" s="15" t="s">
        <v>25</v>
      </c>
      <c r="L19" s="16">
        <v>7.0</v>
      </c>
      <c r="M19" s="16">
        <v>3.0</v>
      </c>
      <c r="N19" s="16">
        <v>1.0</v>
      </c>
      <c r="O19" s="19"/>
      <c r="P19" s="20">
        <v>1520.0</v>
      </c>
      <c r="Q19" s="21">
        <v>33.0</v>
      </c>
      <c r="R19" s="22">
        <v>45847.0</v>
      </c>
      <c r="S19" s="22">
        <v>45814.0</v>
      </c>
      <c r="T19" s="23"/>
      <c r="U19" s="24"/>
      <c r="V19" s="1"/>
    </row>
    <row r="20" ht="24.0" customHeight="1">
      <c r="A20" s="1"/>
      <c r="B20" s="25" t="str">
        <f>HYPERLINK("https://www.compass.com/listing/107-30-guy-r-brewer-boulevard-unit-18b-queens-ny-11433/1810352662956933441/view?agent_id=610d3f3370540700019b0833","107-30 Guy R Brewer Boulevard, Unit 18B")</f>
        <v>107-30 Guy R Brewer Boulevard, Unit 18B</v>
      </c>
      <c r="C20" s="26" t="s">
        <v>29</v>
      </c>
      <c r="D20" s="27" t="s">
        <v>23</v>
      </c>
      <c r="E20" s="28" t="str">
        <f>HYPERLINK("https://www.compass.com/building/107-30-guy-r-brewer-blvd-queens-ny-11433/567632778415910733/","107-30 Guy R Brewer Blvd")</f>
        <v>107-30 Guy R Brewer Blvd</v>
      </c>
      <c r="F20" s="26" t="s">
        <v>24</v>
      </c>
      <c r="G20" s="29">
        <v>399000.0</v>
      </c>
      <c r="H20" s="29">
        <v>438.0</v>
      </c>
      <c r="I20" s="29">
        <v>550.0</v>
      </c>
      <c r="J20" s="29">
        <v>3019.0</v>
      </c>
      <c r="K20" s="26" t="s">
        <v>31</v>
      </c>
      <c r="L20" s="27">
        <v>6.0</v>
      </c>
      <c r="M20" s="27">
        <v>3.0</v>
      </c>
      <c r="N20" s="27">
        <v>1.0</v>
      </c>
      <c r="O20" s="30"/>
      <c r="P20" s="27">
        <v>911.0</v>
      </c>
      <c r="Q20" s="32">
        <v>86.0</v>
      </c>
      <c r="R20" s="33">
        <v>45839.0</v>
      </c>
      <c r="S20" s="33">
        <v>45749.0</v>
      </c>
      <c r="T20" s="34"/>
      <c r="U20" s="35"/>
      <c r="V20" s="1"/>
    </row>
    <row r="21" ht="24.0" customHeight="1">
      <c r="A21" s="1"/>
      <c r="B21" s="25" t="str">
        <f>HYPERLINK("https://www.compass.com/listing/110-11-guy-r-brewer-boulevard-queens-ny-11433/1788605407405814057/view?agent_id=610d3f3370540700019b0833","110-11 Guy R Brewer Boulevard")</f>
        <v>110-11 Guy R Brewer Boulevard</v>
      </c>
      <c r="C21" s="26" t="s">
        <v>29</v>
      </c>
      <c r="D21" s="27" t="s">
        <v>23</v>
      </c>
      <c r="E21" s="28" t="str">
        <f>HYPERLINK("https://www.compass.com/building/110-11-guy-r-brewer-blvd-queens-ny-11433/293529641589676229/","110-11 Guy R Brewer Blvd")</f>
        <v>110-11 Guy R Brewer Blvd</v>
      </c>
      <c r="F21" s="26" t="s">
        <v>24</v>
      </c>
      <c r="G21" s="29">
        <v>200000.0</v>
      </c>
      <c r="H21" s="29">
        <v>158.0</v>
      </c>
      <c r="I21" s="29">
        <v>272.0</v>
      </c>
      <c r="J21" s="29">
        <v>3262.0</v>
      </c>
      <c r="K21" s="26" t="s">
        <v>32</v>
      </c>
      <c r="L21" s="27">
        <v>6.0</v>
      </c>
      <c r="M21" s="27">
        <v>3.0</v>
      </c>
      <c r="N21" s="27">
        <v>1.0</v>
      </c>
      <c r="O21" s="30"/>
      <c r="P21" s="31">
        <v>1268.0</v>
      </c>
      <c r="Q21" s="32">
        <v>1.0</v>
      </c>
      <c r="R21" s="33">
        <v>45758.0</v>
      </c>
      <c r="S21" s="33">
        <v>45719.0</v>
      </c>
      <c r="T21" s="34"/>
      <c r="U21" s="35"/>
      <c r="V21" s="1"/>
    </row>
    <row r="22" ht="24.0" customHeight="1">
      <c r="A22" s="1"/>
      <c r="B22" s="25" t="str">
        <f>HYPERLINK("https://www.compass.com/listing/89-15-parsons-boulevard-unit-11g-queens-ny-11432/1631366827388470273/view?agent_id=610d3f3370540700019b0833","89-15 Parsons Boulevard, Unit 11G")</f>
        <v>89-15 Parsons Boulevard, Unit 11G</v>
      </c>
      <c r="C22" s="26" t="s">
        <v>29</v>
      </c>
      <c r="D22" s="27" t="s">
        <v>23</v>
      </c>
      <c r="E22" s="28" t="str">
        <f>HYPERLINK("https://www.compass.com/building/89-15-parsons-blvd-queens-ny-11432/293527323523755221/","89-15 Parsons Blvd")</f>
        <v>89-15 Parsons Blvd</v>
      </c>
      <c r="F22" s="26" t="s">
        <v>24</v>
      </c>
      <c r="G22" s="29">
        <v>325000.0</v>
      </c>
      <c r="H22" s="29">
        <v>325.0</v>
      </c>
      <c r="I22" s="29">
        <v>1345.0</v>
      </c>
      <c r="J22" s="29">
        <v>0.0</v>
      </c>
      <c r="K22" s="26" t="s">
        <v>33</v>
      </c>
      <c r="L22" s="27">
        <v>6.0</v>
      </c>
      <c r="M22" s="27">
        <v>3.0</v>
      </c>
      <c r="N22" s="27">
        <v>1.0</v>
      </c>
      <c r="O22" s="30"/>
      <c r="P22" s="31">
        <v>1000.0</v>
      </c>
      <c r="Q22" s="32">
        <v>207.0</v>
      </c>
      <c r="R22" s="33">
        <v>45801.0</v>
      </c>
      <c r="S22" s="33">
        <v>45502.0</v>
      </c>
      <c r="T22" s="34"/>
      <c r="U22" s="35"/>
      <c r="V22" s="1"/>
    </row>
    <row r="23" ht="24.0" customHeight="1">
      <c r="A23" s="1"/>
      <c r="B23" s="25" t="str">
        <f>HYPERLINK("https://www.compass.com/listing/90-71-178th-street-queens-ny-11432/1759149276202805393/view?agent_id=610d3f3370540700019b0833","90-71 178th Street")</f>
        <v>90-71 178th Street</v>
      </c>
      <c r="C23" s="26" t="s">
        <v>29</v>
      </c>
      <c r="D23" s="27" t="s">
        <v>23</v>
      </c>
      <c r="E23" s="28" t="str">
        <f>HYPERLINK("https://www.compass.com/building/90-71-178th-st-queens-ny-11432/293526936968285557/","90-71 178th St")</f>
        <v>90-71 178th St</v>
      </c>
      <c r="F23" s="26" t="s">
        <v>24</v>
      </c>
      <c r="G23" s="29">
        <v>649000.0</v>
      </c>
      <c r="H23" s="29">
        <v>507.0</v>
      </c>
      <c r="I23" s="29">
        <v>468.0</v>
      </c>
      <c r="J23" s="29">
        <v>5619.0</v>
      </c>
      <c r="K23" s="26" t="s">
        <v>25</v>
      </c>
      <c r="L23" s="27">
        <v>6.0</v>
      </c>
      <c r="M23" s="27">
        <v>3.0</v>
      </c>
      <c r="N23" s="27">
        <v>1.0</v>
      </c>
      <c r="O23" s="30"/>
      <c r="P23" s="31">
        <v>1280.0</v>
      </c>
      <c r="Q23" s="32">
        <v>85.0</v>
      </c>
      <c r="R23" s="33">
        <v>45764.0</v>
      </c>
      <c r="S23" s="33">
        <v>45678.0</v>
      </c>
      <c r="T23" s="34"/>
      <c r="U23" s="35"/>
      <c r="V23" s="1"/>
    </row>
    <row r="24" ht="24.0" customHeight="1">
      <c r="A24" s="1"/>
      <c r="B24" s="25" t="str">
        <f>HYPERLINK("https://www.compass.com/listing/146-20-111th-avenue-queens-ny-11435/1796837266189880609/view?agent_id=610d3f3370540700019b0833","146-20 111th Avenue")</f>
        <v>146-20 111th Avenue</v>
      </c>
      <c r="C24" s="26" t="s">
        <v>29</v>
      </c>
      <c r="D24" s="27" t="s">
        <v>23</v>
      </c>
      <c r="E24" s="28" t="str">
        <f>HYPERLINK("https://www.compass.com/building/146-20-111th-ave-queens-ny-11435/293417956677874053/","146-20 111th Ave")</f>
        <v>146-20 111th Ave</v>
      </c>
      <c r="F24" s="26" t="s">
        <v>24</v>
      </c>
      <c r="G24" s="29">
        <v>779999.0</v>
      </c>
      <c r="H24" s="29">
        <v>609.0</v>
      </c>
      <c r="I24" s="29">
        <v>396.0</v>
      </c>
      <c r="J24" s="29">
        <v>4749.0</v>
      </c>
      <c r="K24" s="26" t="s">
        <v>25</v>
      </c>
      <c r="L24" s="27">
        <v>7.0</v>
      </c>
      <c r="M24" s="27">
        <v>3.0</v>
      </c>
      <c r="N24" s="27">
        <v>1.0</v>
      </c>
      <c r="O24" s="30"/>
      <c r="P24" s="31">
        <v>1280.0</v>
      </c>
      <c r="Q24" s="32">
        <v>65.0</v>
      </c>
      <c r="R24" s="33">
        <v>45800.0</v>
      </c>
      <c r="S24" s="33">
        <v>45733.0</v>
      </c>
      <c r="T24" s="34"/>
      <c r="U24" s="35"/>
      <c r="V24" s="1"/>
    </row>
    <row r="25" ht="24.0" customHeight="1">
      <c r="A25" s="3"/>
      <c r="B25" s="36" t="s">
        <v>26</v>
      </c>
      <c r="C25" s="37"/>
      <c r="D25" s="38"/>
      <c r="E25" s="38"/>
      <c r="F25" s="37"/>
      <c r="G25" s="39">
        <f>IFERROR(__xludf.DUMMYFUNCTION("TO_DOLLARS(IFERROR(AVERAGE(G19:G24)))"),508666.5)</f>
        <v>508666.5</v>
      </c>
      <c r="H25" s="39">
        <f>IFERROR(__xludf.DUMMYFUNCTION("TO_DOLLARS(IFERROR(AVERAGE(H19:H24)))"),416.1666666666667)</f>
        <v>416.1666667</v>
      </c>
      <c r="I25" s="39">
        <f>IFERROR(__xludf.DUMMYFUNCTION("TO_DOLLARS(IFERROR(AVERAGE(I19:I24)))"),565.1666666666666)</f>
        <v>565.1666667</v>
      </c>
      <c r="J25" s="39">
        <f>IFERROR(__xludf.DUMMYFUNCTION("TO_DOLLARS(IFERROR(AVERAGE(J19:J24)))"),3494.5)</f>
        <v>3494.5</v>
      </c>
      <c r="K25" s="37"/>
      <c r="L25" s="38"/>
      <c r="M25" s="38"/>
      <c r="N25" s="38"/>
      <c r="O25" s="38"/>
      <c r="P25" s="38">
        <f t="shared" ref="P25:Q25" si="3">IFERROR(AVERAGE(P19:P24),"")</f>
        <v>1209.833333</v>
      </c>
      <c r="Q25" s="40">
        <f t="shared" si="3"/>
        <v>79.5</v>
      </c>
      <c r="R25" s="41"/>
      <c r="S25" s="41"/>
      <c r="T25" s="39" t="str">
        <f>IFERROR(__xludf.DUMMYFUNCTION("TO_DOLLARS(IFERROR(AVERAGE(T19:T24)))"),"")</f>
        <v/>
      </c>
      <c r="U25" s="41"/>
      <c r="V25" s="1"/>
    </row>
    <row r="26" ht="24.0" customHeight="1">
      <c r="A26" s="3"/>
      <c r="B26" s="42" t="s">
        <v>27</v>
      </c>
      <c r="C26" s="43"/>
      <c r="D26" s="44"/>
      <c r="E26" s="44"/>
      <c r="F26" s="43"/>
      <c r="G26" s="45">
        <f>IFERROR(__xludf.DUMMYFUNCTION("TO_DOLLARS(IFERROR(MEDIAN(G19:G24)))"),524000.0)</f>
        <v>524000</v>
      </c>
      <c r="H26" s="45">
        <f>IFERROR(__xludf.DUMMYFUNCTION("TO_DOLLARS(IFERROR(MEDIAN(H19:H24)))"),449.0)</f>
        <v>449</v>
      </c>
      <c r="I26" s="45">
        <f>IFERROR(__xludf.DUMMYFUNCTION("TO_DOLLARS(IFERROR(MEDIAN(I19:I24)))"),432.0)</f>
        <v>432</v>
      </c>
      <c r="J26" s="45">
        <f>IFERROR(__xludf.DUMMYFUNCTION("TO_DOLLARS(IFERROR(MEDIAN(J19:J24)))"),3790.0)</f>
        <v>3790</v>
      </c>
      <c r="K26" s="43"/>
      <c r="L26" s="44"/>
      <c r="M26" s="44"/>
      <c r="N26" s="44"/>
      <c r="O26" s="44"/>
      <c r="P26" s="44">
        <f t="shared" ref="P26:Q26" si="4">IFERROR(MEDIAN(P19:P24),"")</f>
        <v>1274</v>
      </c>
      <c r="Q26" s="46">
        <f t="shared" si="4"/>
        <v>75</v>
      </c>
      <c r="R26" s="47"/>
      <c r="S26" s="47"/>
      <c r="T26" s="45" t="str">
        <f>IFERROR(__xludf.DUMMYFUNCTION("TO_DOLLARS(IFERROR(MEDIAN(T19:T24)))"),"")</f>
        <v/>
      </c>
      <c r="U26" s="47"/>
      <c r="V26" s="1"/>
    </row>
    <row r="27">
      <c r="A27" s="1"/>
      <c r="B27" s="2"/>
      <c r="C27" s="2"/>
      <c r="D27" s="2"/>
      <c r="E27" s="2"/>
      <c r="F27" s="2"/>
      <c r="G27" s="2"/>
      <c r="H27" s="2"/>
      <c r="I27" s="2"/>
      <c r="J27" s="2"/>
      <c r="K27" s="2"/>
      <c r="L27" s="2"/>
      <c r="M27" s="2"/>
      <c r="N27" s="2"/>
      <c r="O27" s="2"/>
      <c r="P27" s="2"/>
      <c r="Q27" s="2"/>
      <c r="R27" s="2"/>
      <c r="S27" s="2"/>
      <c r="T27" s="2"/>
      <c r="U27" s="2"/>
      <c r="V27" s="1"/>
    </row>
    <row r="28" ht="24.0" customHeight="1">
      <c r="A28" s="3"/>
      <c r="B28" s="10" t="s">
        <v>34</v>
      </c>
      <c r="C28" s="5"/>
      <c r="D28" s="5"/>
      <c r="E28" s="5"/>
      <c r="F28" s="5"/>
      <c r="G28" s="5"/>
      <c r="H28" s="5"/>
      <c r="I28" s="5"/>
      <c r="J28" s="5"/>
      <c r="K28" s="5"/>
      <c r="L28" s="5"/>
      <c r="M28" s="5"/>
      <c r="N28" s="5"/>
      <c r="O28" s="5"/>
      <c r="P28" s="5"/>
      <c r="Q28" s="5"/>
      <c r="R28" s="5"/>
      <c r="S28" s="5"/>
      <c r="T28" s="5"/>
      <c r="U28" s="6"/>
      <c r="V28" s="1"/>
    </row>
    <row r="29" ht="24.0" customHeight="1">
      <c r="A29" s="3"/>
      <c r="B29" s="11" t="s">
        <v>2</v>
      </c>
      <c r="C29" s="11" t="s">
        <v>3</v>
      </c>
      <c r="D29" s="12" t="s">
        <v>4</v>
      </c>
      <c r="E29" s="12" t="s">
        <v>5</v>
      </c>
      <c r="F29" s="11" t="s">
        <v>6</v>
      </c>
      <c r="G29" s="13" t="s">
        <v>7</v>
      </c>
      <c r="H29" s="13" t="s">
        <v>8</v>
      </c>
      <c r="I29" s="13" t="s">
        <v>9</v>
      </c>
      <c r="J29" s="13" t="s">
        <v>10</v>
      </c>
      <c r="K29" s="11" t="s">
        <v>11</v>
      </c>
      <c r="L29" s="12" t="s">
        <v>12</v>
      </c>
      <c r="M29" s="12" t="s">
        <v>13</v>
      </c>
      <c r="N29" s="12" t="s">
        <v>14</v>
      </c>
      <c r="O29" s="12" t="s">
        <v>15</v>
      </c>
      <c r="P29" s="12" t="s">
        <v>16</v>
      </c>
      <c r="Q29" s="13" t="s">
        <v>17</v>
      </c>
      <c r="R29" s="11" t="s">
        <v>18</v>
      </c>
      <c r="S29" s="11" t="s">
        <v>19</v>
      </c>
      <c r="T29" s="13" t="s">
        <v>20</v>
      </c>
      <c r="U29" s="11" t="s">
        <v>21</v>
      </c>
      <c r="V29" s="1"/>
    </row>
    <row r="30" ht="24.0" customHeight="1">
      <c r="A30" s="1"/>
      <c r="B30" s="14" t="str">
        <f>HYPERLINK("https://www.compass.com/listing/107-10-wren-place-queens-ny-11433/1730525859275199217/view?agent_id=610d3f3370540700019b0833","107-10 Wren Place")</f>
        <v>107-10 Wren Place</v>
      </c>
      <c r="C30" s="15" t="s">
        <v>35</v>
      </c>
      <c r="D30" s="16" t="s">
        <v>23</v>
      </c>
      <c r="E30" s="17" t="str">
        <f>HYPERLINK("https://www.compass.com/building/107-10-wren-pl-queens-ny-11433/293527330545022997/","107-10 Wren Pl")</f>
        <v>107-10 Wren Pl</v>
      </c>
      <c r="F30" s="15" t="s">
        <v>24</v>
      </c>
      <c r="G30" s="18">
        <v>160000.0</v>
      </c>
      <c r="H30" s="23"/>
      <c r="I30" s="18">
        <v>148.0</v>
      </c>
      <c r="J30" s="18">
        <v>1775.0</v>
      </c>
      <c r="K30" s="15" t="s">
        <v>32</v>
      </c>
      <c r="L30" s="16">
        <v>6.0</v>
      </c>
      <c r="M30" s="16">
        <v>3.0</v>
      </c>
      <c r="N30" s="16">
        <v>1.0</v>
      </c>
      <c r="O30" s="19"/>
      <c r="P30" s="19"/>
      <c r="Q30" s="21">
        <v>359.0</v>
      </c>
      <c r="R30" s="22">
        <v>45617.0</v>
      </c>
      <c r="S30" s="22">
        <v>41524.0</v>
      </c>
      <c r="T30" s="18">
        <v>160000.0</v>
      </c>
      <c r="U30" s="22">
        <v>41900.0</v>
      </c>
      <c r="V30" s="1"/>
    </row>
    <row r="31" ht="24.0" customHeight="1">
      <c r="A31" s="1"/>
      <c r="B31" s="25" t="str">
        <f>HYPERLINK("https://www.compass.com/listing/170-11-104th-avenue-queens-ny-11433/1556322050636570961/view?agent_id=610d3f3370540700019b0833","170-11 104th Avenue")</f>
        <v>170-11 104th Avenue</v>
      </c>
      <c r="C31" s="26" t="s">
        <v>35</v>
      </c>
      <c r="D31" s="27" t="s">
        <v>23</v>
      </c>
      <c r="E31" s="28" t="str">
        <f>HYPERLINK("https://www.compass.com/building/170-11-104th-ave-queens-ny-11433/293418374162148693/","170-11 104th Ave")</f>
        <v>170-11 104th Ave</v>
      </c>
      <c r="F31" s="26" t="s">
        <v>24</v>
      </c>
      <c r="G31" s="29">
        <v>251000.0</v>
      </c>
      <c r="H31" s="29">
        <v>206.0</v>
      </c>
      <c r="I31" s="29">
        <v>213.0</v>
      </c>
      <c r="J31" s="29">
        <v>2560.0</v>
      </c>
      <c r="K31" s="26" t="s">
        <v>32</v>
      </c>
      <c r="L31" s="27">
        <v>6.0</v>
      </c>
      <c r="M31" s="27">
        <v>3.0</v>
      </c>
      <c r="N31" s="27">
        <v>1.0</v>
      </c>
      <c r="O31" s="30"/>
      <c r="P31" s="31">
        <v>1216.0</v>
      </c>
      <c r="Q31" s="32">
        <v>18.0</v>
      </c>
      <c r="R31" s="33">
        <v>45597.0</v>
      </c>
      <c r="S31" s="33">
        <v>42258.0</v>
      </c>
      <c r="T31" s="29">
        <v>251000.0</v>
      </c>
      <c r="U31" s="33">
        <v>42292.0</v>
      </c>
      <c r="V31" s="1"/>
    </row>
    <row r="32" ht="24.0" customHeight="1">
      <c r="A32" s="1"/>
      <c r="B32" s="25" t="str">
        <f>HYPERLINK("https://www.compass.com/listing/107-24-guy-r-brewer-boulevard-unit-15b-queens-ny-11433/1633408872215778761/view?agent_id=610d3f3370540700019b0833","107-24 Guy R Brewer Boulevard, Unit 15B")</f>
        <v>107-24 Guy R Brewer Boulevard, Unit 15B</v>
      </c>
      <c r="C32" s="26" t="s">
        <v>35</v>
      </c>
      <c r="D32" s="27" t="s">
        <v>23</v>
      </c>
      <c r="E32" s="28" t="str">
        <f>HYPERLINK("https://www.compass.com/building/107-24-guy-r-brewer-blvd-queens-ny-11433/307453534907597461/","107-24 Guy R Brewer Blvd")</f>
        <v>107-24 Guy R Brewer Blvd</v>
      </c>
      <c r="F32" s="26" t="s">
        <v>24</v>
      </c>
      <c r="G32" s="29">
        <v>430000.0</v>
      </c>
      <c r="H32" s="29">
        <v>472.0</v>
      </c>
      <c r="I32" s="29">
        <v>532.0</v>
      </c>
      <c r="J32" s="29">
        <v>2866.0</v>
      </c>
      <c r="K32" s="26" t="s">
        <v>31</v>
      </c>
      <c r="L32" s="27">
        <v>6.0</v>
      </c>
      <c r="M32" s="27">
        <v>3.0</v>
      </c>
      <c r="N32" s="27">
        <v>1.0</v>
      </c>
      <c r="O32" s="30"/>
      <c r="P32" s="27">
        <v>911.0</v>
      </c>
      <c r="Q32" s="32">
        <v>28.0</v>
      </c>
      <c r="R32" s="33">
        <v>45733.0</v>
      </c>
      <c r="S32" s="33">
        <v>45506.0</v>
      </c>
      <c r="T32" s="29">
        <v>430000.0</v>
      </c>
      <c r="U32" s="33">
        <v>45730.0</v>
      </c>
      <c r="V32" s="1"/>
    </row>
    <row r="33" ht="24.0" customHeight="1">
      <c r="A33" s="1"/>
      <c r="B33" s="25" t="str">
        <f>HYPERLINK("https://www.compass.com/listing/104-70-165th-street-queens-ny-11433/29130984700113633/view?agent_id=610d3f3370540700019b0833","104-70 165th Street")</f>
        <v>104-70 165th Street</v>
      </c>
      <c r="C33" s="26" t="s">
        <v>35</v>
      </c>
      <c r="D33" s="27" t="s">
        <v>23</v>
      </c>
      <c r="E33" s="28" t="str">
        <f>HYPERLINK("https://www.compass.com/building/104-70-165th-st-queens-ny-11433/293532472082296261/","104-70 165th St")</f>
        <v>104-70 165th St</v>
      </c>
      <c r="F33" s="26" t="s">
        <v>24</v>
      </c>
      <c r="G33" s="29">
        <v>360000.0</v>
      </c>
      <c r="H33" s="29">
        <v>218.0</v>
      </c>
      <c r="I33" s="29">
        <v>229.0</v>
      </c>
      <c r="J33" s="29">
        <v>2746.0</v>
      </c>
      <c r="K33" s="26" t="s">
        <v>36</v>
      </c>
      <c r="L33" s="27">
        <v>8.0</v>
      </c>
      <c r="M33" s="27">
        <v>3.0</v>
      </c>
      <c r="N33" s="27">
        <v>1.0</v>
      </c>
      <c r="O33" s="27">
        <v>0.0</v>
      </c>
      <c r="P33" s="31">
        <v>1650.0</v>
      </c>
      <c r="Q33" s="32">
        <v>135.0</v>
      </c>
      <c r="R33" s="33">
        <v>45625.0</v>
      </c>
      <c r="S33" s="33">
        <v>42491.0</v>
      </c>
      <c r="T33" s="29">
        <v>360000.0</v>
      </c>
      <c r="U33" s="33">
        <v>42779.0</v>
      </c>
      <c r="V33" s="1"/>
    </row>
    <row r="34" ht="24.0" customHeight="1">
      <c r="A34" s="1"/>
      <c r="B34" s="25" t="str">
        <f>HYPERLINK("https://www.compass.com/listing/107-24-guy-r-brewer-boulevard-unit-15c-queens-ny-11433/738356508348731409/view?agent_id=610d3f3370540700019b0833","107-24 Guy R Brewer Boulevard, Unit 15C")</f>
        <v>107-24 Guy R Brewer Boulevard, Unit 15C</v>
      </c>
      <c r="C34" s="26" t="s">
        <v>35</v>
      </c>
      <c r="D34" s="27" t="s">
        <v>23</v>
      </c>
      <c r="E34" s="28" t="str">
        <f>HYPERLINK("https://www.compass.com/building/107-24-guy-r-brewer-blvd-queens-ny-11433/307453534907597461/","107-24 Guy R Brewer Blvd")</f>
        <v>107-24 Guy R Brewer Blvd</v>
      </c>
      <c r="F34" s="26" t="s">
        <v>24</v>
      </c>
      <c r="G34" s="29">
        <v>335000.0</v>
      </c>
      <c r="H34" s="34"/>
      <c r="I34" s="29">
        <v>523.0</v>
      </c>
      <c r="J34" s="29">
        <v>2755.0</v>
      </c>
      <c r="K34" s="26" t="s">
        <v>31</v>
      </c>
      <c r="L34" s="27">
        <v>6.0</v>
      </c>
      <c r="M34" s="27">
        <v>3.0</v>
      </c>
      <c r="N34" s="27">
        <v>1.0</v>
      </c>
      <c r="O34" s="30"/>
      <c r="P34" s="30"/>
      <c r="Q34" s="32">
        <v>108.0</v>
      </c>
      <c r="R34" s="33">
        <v>45617.0</v>
      </c>
      <c r="S34" s="33">
        <v>44268.0</v>
      </c>
      <c r="T34" s="29">
        <v>335000.0</v>
      </c>
      <c r="U34" s="33">
        <v>44552.0</v>
      </c>
      <c r="V34" s="1"/>
    </row>
    <row r="35" ht="24.0" customHeight="1">
      <c r="A35" s="1"/>
      <c r="B35" s="25" t="str">
        <f>HYPERLINK("https://www.compass.com/listing/108-07-fern-place-queens-ny-11433/29131678362401057/view?agent_id=610d3f3370540700019b0833","108-07 Fern Place")</f>
        <v>108-07 Fern Place</v>
      </c>
      <c r="C35" s="26" t="s">
        <v>35</v>
      </c>
      <c r="D35" s="27" t="s">
        <v>23</v>
      </c>
      <c r="E35" s="27" t="s">
        <v>37</v>
      </c>
      <c r="F35" s="26" t="s">
        <v>24</v>
      </c>
      <c r="G35" s="29">
        <v>390000.0</v>
      </c>
      <c r="H35" s="34"/>
      <c r="I35" s="29">
        <v>253.0</v>
      </c>
      <c r="J35" s="29">
        <v>3039.0</v>
      </c>
      <c r="K35" s="26" t="s">
        <v>32</v>
      </c>
      <c r="L35" s="27">
        <v>5.0</v>
      </c>
      <c r="M35" s="27">
        <v>3.0</v>
      </c>
      <c r="N35" s="27">
        <v>1.0</v>
      </c>
      <c r="O35" s="30"/>
      <c r="P35" s="30"/>
      <c r="Q35" s="32">
        <v>96.0</v>
      </c>
      <c r="R35" s="33">
        <v>45626.0</v>
      </c>
      <c r="S35" s="33">
        <v>42851.0</v>
      </c>
      <c r="T35" s="29">
        <v>390000.0</v>
      </c>
      <c r="U35" s="33">
        <v>42985.0</v>
      </c>
      <c r="V35" s="1"/>
    </row>
    <row r="36" ht="24.0" customHeight="1">
      <c r="A36" s="1"/>
      <c r="B36" s="25" t="str">
        <f>HYPERLINK("https://www.compass.com/listing/110-33-a-159th-street-queens-ny-11433/366580032136223345/view?agent_id=610d3f3370540700019b0833","110-33 A 159th Street")</f>
        <v>110-33 A 159th Street</v>
      </c>
      <c r="C36" s="26" t="s">
        <v>35</v>
      </c>
      <c r="D36" s="27" t="s">
        <v>23</v>
      </c>
      <c r="E36" s="27" t="s">
        <v>38</v>
      </c>
      <c r="F36" s="26" t="s">
        <v>24</v>
      </c>
      <c r="G36" s="29">
        <v>336141.0</v>
      </c>
      <c r="H36" s="34"/>
      <c r="I36" s="29">
        <v>305.0</v>
      </c>
      <c r="J36" s="29">
        <v>3665.0</v>
      </c>
      <c r="K36" s="26" t="s">
        <v>32</v>
      </c>
      <c r="L36" s="27">
        <v>5.0</v>
      </c>
      <c r="M36" s="27">
        <v>3.0</v>
      </c>
      <c r="N36" s="27">
        <v>1.0</v>
      </c>
      <c r="O36" s="30"/>
      <c r="P36" s="30"/>
      <c r="Q36" s="32">
        <v>124.0</v>
      </c>
      <c r="R36" s="33">
        <v>45628.0</v>
      </c>
      <c r="S36" s="33">
        <v>43756.0</v>
      </c>
      <c r="T36" s="29">
        <v>336141.0</v>
      </c>
      <c r="U36" s="33">
        <v>43895.0</v>
      </c>
      <c r="V36" s="1"/>
    </row>
    <row r="37" ht="24.0" customHeight="1">
      <c r="A37" s="1"/>
      <c r="B37" s="25" t="str">
        <f>HYPERLINK("https://www.compass.com/listing/107-12-wren-place-queens-ny-11433/65918101639749377/view?agent_id=610d3f3370540700019b0833","107-12 Wren Place")</f>
        <v>107-12 Wren Place</v>
      </c>
      <c r="C37" s="26" t="s">
        <v>35</v>
      </c>
      <c r="D37" s="27" t="s">
        <v>23</v>
      </c>
      <c r="E37" s="28" t="str">
        <f>HYPERLINK("https://www.compass.com/building/107-12-wren-pl-queens-ny-11433/293417267897677221/","107-12 Wren Pl")</f>
        <v>107-12 Wren Pl</v>
      </c>
      <c r="F37" s="26" t="s">
        <v>24</v>
      </c>
      <c r="G37" s="29">
        <v>326000.0</v>
      </c>
      <c r="H37" s="29">
        <v>255.0</v>
      </c>
      <c r="I37" s="29">
        <v>295.0</v>
      </c>
      <c r="J37" s="29">
        <v>3544.0</v>
      </c>
      <c r="K37" s="26" t="s">
        <v>25</v>
      </c>
      <c r="L37" s="27">
        <v>6.0</v>
      </c>
      <c r="M37" s="27">
        <v>3.0</v>
      </c>
      <c r="N37" s="27">
        <v>1.0</v>
      </c>
      <c r="O37" s="30"/>
      <c r="P37" s="31">
        <v>1280.0</v>
      </c>
      <c r="Q37" s="32">
        <v>76.0</v>
      </c>
      <c r="R37" s="33">
        <v>45626.0</v>
      </c>
      <c r="S37" s="33">
        <v>43167.0</v>
      </c>
      <c r="T37" s="29">
        <v>326000.0</v>
      </c>
      <c r="U37" s="33">
        <v>43273.0</v>
      </c>
      <c r="V37" s="1"/>
    </row>
    <row r="38" ht="24.0" customHeight="1">
      <c r="A38" s="1"/>
      <c r="B38" s="25" t="str">
        <f>HYPERLINK("https://www.compass.com/listing/110-19-157th-street-queens-ny-11433/355646124259527489/view?agent_id=610d3f3370540700019b0833","110-19 157th Street")</f>
        <v>110-19 157th Street</v>
      </c>
      <c r="C38" s="26" t="s">
        <v>35</v>
      </c>
      <c r="D38" s="27" t="s">
        <v>23</v>
      </c>
      <c r="E38" s="28" t="str">
        <f>HYPERLINK("https://www.compass.com/building/110-19-157th-st-queens-ny-11433/293532590319645237/","110-19 157th St")</f>
        <v>110-19 157th St</v>
      </c>
      <c r="F38" s="26" t="s">
        <v>24</v>
      </c>
      <c r="G38" s="29">
        <v>406000.0</v>
      </c>
      <c r="H38" s="29">
        <v>215.0</v>
      </c>
      <c r="I38" s="29">
        <v>262.0</v>
      </c>
      <c r="J38" s="29">
        <v>3147.0</v>
      </c>
      <c r="K38" s="26" t="s">
        <v>32</v>
      </c>
      <c r="L38" s="27">
        <v>6.0</v>
      </c>
      <c r="M38" s="27">
        <v>3.0</v>
      </c>
      <c r="N38" s="27">
        <v>1.0</v>
      </c>
      <c r="O38" s="30"/>
      <c r="P38" s="31">
        <v>1888.0</v>
      </c>
      <c r="Q38" s="32">
        <v>18.0</v>
      </c>
      <c r="R38" s="33">
        <v>45628.0</v>
      </c>
      <c r="S38" s="33">
        <v>43742.0</v>
      </c>
      <c r="T38" s="29">
        <v>406000.0</v>
      </c>
      <c r="U38" s="33">
        <v>43801.0</v>
      </c>
      <c r="V38" s="1"/>
    </row>
    <row r="39" ht="24.0" customHeight="1">
      <c r="A39" s="1"/>
      <c r="B39" s="25" t="str">
        <f>HYPERLINK("https://www.compass.com/listing/164-52-nadal-place-queens-ny-11433/206348782403667825/view?agent_id=610d3f3370540700019b0833","164-52 Nadal Place")</f>
        <v>164-52 Nadal Place</v>
      </c>
      <c r="C39" s="26" t="s">
        <v>35</v>
      </c>
      <c r="D39" s="27" t="s">
        <v>23</v>
      </c>
      <c r="E39" s="28" t="str">
        <f>HYPERLINK("https://www.compass.com/building/164-52-nadal-pl-queens-ny-11433/293527599265665733/","164-52 Nadal Pl")</f>
        <v>164-52 Nadal Pl</v>
      </c>
      <c r="F39" s="26" t="s">
        <v>24</v>
      </c>
      <c r="G39" s="29">
        <v>385320.0</v>
      </c>
      <c r="H39" s="34"/>
      <c r="I39" s="29">
        <v>208.0</v>
      </c>
      <c r="J39" s="29">
        <v>2500.0</v>
      </c>
      <c r="K39" s="26" t="s">
        <v>32</v>
      </c>
      <c r="L39" s="27">
        <v>5.0</v>
      </c>
      <c r="M39" s="27">
        <v>3.0</v>
      </c>
      <c r="N39" s="27">
        <v>1.0</v>
      </c>
      <c r="O39" s="30"/>
      <c r="P39" s="30"/>
      <c r="Q39" s="32">
        <v>31.0</v>
      </c>
      <c r="R39" s="33">
        <v>45627.0</v>
      </c>
      <c r="S39" s="33">
        <v>43535.0</v>
      </c>
      <c r="T39" s="29">
        <v>385320.0</v>
      </c>
      <c r="U39" s="33">
        <v>43584.0</v>
      </c>
      <c r="V39" s="1"/>
    </row>
    <row r="40" ht="24.0" customHeight="1">
      <c r="A40" s="1"/>
      <c r="B40" s="25" t="str">
        <f>HYPERLINK("https://www.compass.com/listing/110-21-172nd-street-queens-ny-11433/246349147391720737/view?agent_id=610d3f3370540700019b0833","110-21 172nd Street")</f>
        <v>110-21 172nd Street</v>
      </c>
      <c r="C40" s="26" t="s">
        <v>35</v>
      </c>
      <c r="D40" s="27" t="s">
        <v>23</v>
      </c>
      <c r="E40" s="28" t="str">
        <f>HYPERLINK("https://www.compass.com/building/110-21-172nd-st-queens-ny-11433/293530850874733285/","110-21 172nd St")</f>
        <v>110-21 172nd St</v>
      </c>
      <c r="F40" s="26" t="s">
        <v>24</v>
      </c>
      <c r="G40" s="29">
        <v>363500.0</v>
      </c>
      <c r="H40" s="29">
        <v>297.0</v>
      </c>
      <c r="I40" s="29">
        <v>326.0</v>
      </c>
      <c r="J40" s="29">
        <v>3909.0</v>
      </c>
      <c r="K40" s="26" t="s">
        <v>32</v>
      </c>
      <c r="L40" s="27">
        <v>6.0</v>
      </c>
      <c r="M40" s="27">
        <v>3.0</v>
      </c>
      <c r="N40" s="27">
        <v>1.0</v>
      </c>
      <c r="O40" s="30"/>
      <c r="P40" s="31">
        <v>1224.0</v>
      </c>
      <c r="Q40" s="32">
        <v>16.0</v>
      </c>
      <c r="R40" s="33">
        <v>45627.0</v>
      </c>
      <c r="S40" s="33">
        <v>43591.0</v>
      </c>
      <c r="T40" s="29">
        <v>363500.0</v>
      </c>
      <c r="U40" s="33">
        <v>43642.0</v>
      </c>
      <c r="V40" s="1"/>
    </row>
    <row r="41" ht="24.0" customHeight="1">
      <c r="A41" s="1"/>
      <c r="B41" s="25" t="str">
        <f>HYPERLINK("https://www.compass.com/listing/107-22-guy-r-brewer-boulevard-unit-14b-queens-ny-11433/197754047959213089/view?agent_id=610d3f3370540700019b0833","107-22 Guy R Brewer Boulevard, Unit 14B")</f>
        <v>107-22 Guy R Brewer Boulevard, Unit 14B</v>
      </c>
      <c r="C41" s="26" t="s">
        <v>35</v>
      </c>
      <c r="D41" s="27" t="s">
        <v>23</v>
      </c>
      <c r="E41" s="28" t="str">
        <f>HYPERLINK("https://www.compass.com/building/107-22-guy-r-brewer-blvd-queens-ny-11433/307460545745528581/","107-22 Guy R Brewer Blvd")</f>
        <v>107-22 Guy R Brewer Blvd</v>
      </c>
      <c r="F41" s="26" t="s">
        <v>24</v>
      </c>
      <c r="G41" s="29">
        <v>160000.0</v>
      </c>
      <c r="H41" s="29">
        <v>160.0</v>
      </c>
      <c r="I41" s="29">
        <v>283.0</v>
      </c>
      <c r="J41" s="29">
        <v>1024.0</v>
      </c>
      <c r="K41" s="26" t="s">
        <v>31</v>
      </c>
      <c r="L41" s="27">
        <v>6.0</v>
      </c>
      <c r="M41" s="27">
        <v>3.0</v>
      </c>
      <c r="N41" s="27">
        <v>1.0</v>
      </c>
      <c r="O41" s="27">
        <v>0.0</v>
      </c>
      <c r="P41" s="31">
        <v>1000.0</v>
      </c>
      <c r="Q41" s="32">
        <v>392.0</v>
      </c>
      <c r="R41" s="33">
        <v>45624.0</v>
      </c>
      <c r="S41" s="33">
        <v>41943.0</v>
      </c>
      <c r="T41" s="29">
        <v>160000.0</v>
      </c>
      <c r="U41" s="33">
        <v>42551.0</v>
      </c>
      <c r="V41" s="1"/>
    </row>
    <row r="42" ht="24.0" customHeight="1">
      <c r="A42" s="1"/>
      <c r="B42" s="25" t="str">
        <f>HYPERLINK("https://www.compass.com/listing/107-12-wren-place-queens-ny-11433/29131659899044993/view?agent_id=610d3f3370540700019b0833","107-12 Wren Pl")</f>
        <v>107-12 Wren Pl</v>
      </c>
      <c r="C42" s="26" t="s">
        <v>35</v>
      </c>
      <c r="D42" s="27" t="s">
        <v>23</v>
      </c>
      <c r="E42" s="28" t="str">
        <f t="shared" ref="E42:E43" si="5">HYPERLINK("https://www.compass.com/building/107-12-wren-pl-queens-ny-11433/293417267897677221/","107-12 Wren Pl")</f>
        <v>107-12 Wren Pl</v>
      </c>
      <c r="F42" s="26" t="s">
        <v>24</v>
      </c>
      <c r="G42" s="29">
        <v>200000.0</v>
      </c>
      <c r="H42" s="29">
        <v>156.0</v>
      </c>
      <c r="I42" s="29">
        <v>295.0</v>
      </c>
      <c r="J42" s="29">
        <v>3544.0</v>
      </c>
      <c r="K42" s="26" t="s">
        <v>39</v>
      </c>
      <c r="L42" s="30"/>
      <c r="M42" s="27">
        <v>3.0</v>
      </c>
      <c r="N42" s="27">
        <v>1.0</v>
      </c>
      <c r="O42" s="30"/>
      <c r="P42" s="31">
        <v>1280.0</v>
      </c>
      <c r="Q42" s="48"/>
      <c r="R42" s="35"/>
      <c r="S42" s="35"/>
      <c r="T42" s="29">
        <v>200000.0</v>
      </c>
      <c r="U42" s="33">
        <v>39512.0</v>
      </c>
      <c r="V42" s="1"/>
    </row>
    <row r="43" ht="24.0" customHeight="1">
      <c r="A43" s="1"/>
      <c r="B43" s="25" t="str">
        <f>HYPERLINK("https://www.compass.com/listing/107-12-wren-place-queens-ny-11433/29131659899045025/view?agent_id=610d3f3370540700019b0833","107-12 Wren Pl")</f>
        <v>107-12 Wren Pl</v>
      </c>
      <c r="C43" s="26" t="s">
        <v>35</v>
      </c>
      <c r="D43" s="27" t="s">
        <v>23</v>
      </c>
      <c r="E43" s="28" t="str">
        <f t="shared" si="5"/>
        <v>107-12 Wren Pl</v>
      </c>
      <c r="F43" s="26" t="s">
        <v>24</v>
      </c>
      <c r="G43" s="29">
        <v>280000.0</v>
      </c>
      <c r="H43" s="29">
        <v>219.0</v>
      </c>
      <c r="I43" s="29">
        <v>295.0</v>
      </c>
      <c r="J43" s="29">
        <v>3544.0</v>
      </c>
      <c r="K43" s="26" t="s">
        <v>39</v>
      </c>
      <c r="L43" s="30"/>
      <c r="M43" s="27">
        <v>3.0</v>
      </c>
      <c r="N43" s="27">
        <v>1.0</v>
      </c>
      <c r="O43" s="30"/>
      <c r="P43" s="31">
        <v>1280.0</v>
      </c>
      <c r="Q43" s="48"/>
      <c r="R43" s="35"/>
      <c r="S43" s="35"/>
      <c r="T43" s="29">
        <v>280000.0</v>
      </c>
      <c r="U43" s="33">
        <v>42342.0</v>
      </c>
      <c r="V43" s="1"/>
    </row>
    <row r="44" ht="24.0" customHeight="1">
      <c r="A44" s="1"/>
      <c r="B44" s="25" t="str">
        <f>HYPERLINK("https://www.compass.com/listing/111-18-156th-street-queens-ny-11433/29141255954900337/view?agent_id=610d3f3370540700019b0833","111-18 156th Street")</f>
        <v>111-18 156th Street</v>
      </c>
      <c r="C44" s="26" t="s">
        <v>35</v>
      </c>
      <c r="D44" s="27" t="s">
        <v>23</v>
      </c>
      <c r="E44" s="28" t="str">
        <f>HYPERLINK("https://www.compass.com/building/111-18-156th-st-queens-ny-11433/293531929431545477/","111-18 156th St")</f>
        <v>111-18 156th St</v>
      </c>
      <c r="F44" s="26" t="s">
        <v>24</v>
      </c>
      <c r="G44" s="29">
        <v>240000.0</v>
      </c>
      <c r="H44" s="29">
        <v>176.0</v>
      </c>
      <c r="I44" s="29">
        <v>212.0</v>
      </c>
      <c r="J44" s="29">
        <v>2545.0</v>
      </c>
      <c r="K44" s="26" t="s">
        <v>32</v>
      </c>
      <c r="L44" s="27">
        <v>6.0</v>
      </c>
      <c r="M44" s="27">
        <v>3.0</v>
      </c>
      <c r="N44" s="27">
        <v>1.0</v>
      </c>
      <c r="O44" s="27">
        <v>0.0</v>
      </c>
      <c r="P44" s="31">
        <v>1366.0</v>
      </c>
      <c r="Q44" s="32">
        <v>45.0</v>
      </c>
      <c r="R44" s="33">
        <v>45624.0</v>
      </c>
      <c r="S44" s="33">
        <v>42219.0</v>
      </c>
      <c r="T44" s="29">
        <v>240000.0</v>
      </c>
      <c r="U44" s="33">
        <v>42352.0</v>
      </c>
      <c r="V44" s="1"/>
    </row>
    <row r="45" ht="24.0" customHeight="1">
      <c r="A45" s="1"/>
      <c r="B45" s="25" t="str">
        <f>HYPERLINK("https://www.compass.com/listing/107-37-156th-street-queens-ny-11433/1374602031972274969/view?agent_id=610d3f3370540700019b0833","107-37 156th St")</f>
        <v>107-37 156th St</v>
      </c>
      <c r="C45" s="26" t="s">
        <v>35</v>
      </c>
      <c r="D45" s="27" t="s">
        <v>23</v>
      </c>
      <c r="E45" s="28" t="str">
        <f>HYPERLINK("https://www.compass.com/building/107-37-156th-st-queens-ny-11433/293529556009188693/","107-37 156th St")</f>
        <v>107-37 156th St</v>
      </c>
      <c r="F45" s="26" t="s">
        <v>24</v>
      </c>
      <c r="G45" s="29">
        <v>350000.0</v>
      </c>
      <c r="H45" s="29">
        <v>685.0</v>
      </c>
      <c r="I45" s="29">
        <v>170.0</v>
      </c>
      <c r="J45" s="29">
        <v>2038.0</v>
      </c>
      <c r="K45" s="26" t="s">
        <v>39</v>
      </c>
      <c r="L45" s="30"/>
      <c r="M45" s="27">
        <v>3.0</v>
      </c>
      <c r="N45" s="27">
        <v>1.0</v>
      </c>
      <c r="O45" s="30"/>
      <c r="P45" s="27">
        <v>511.0</v>
      </c>
      <c r="Q45" s="48"/>
      <c r="R45" s="35"/>
      <c r="S45" s="35"/>
      <c r="T45" s="29">
        <v>350000.0</v>
      </c>
      <c r="U45" s="33">
        <v>45126.0</v>
      </c>
      <c r="V45" s="1"/>
    </row>
    <row r="46" ht="24.0" customHeight="1">
      <c r="A46" s="1"/>
      <c r="B46" s="25" t="str">
        <f>HYPERLINK("https://www.compass.com/listing/107-12-wren-place-queens-ny-11433/29131659899045009/view?agent_id=610d3f3370540700019b0833","107-12 Wren Pl")</f>
        <v>107-12 Wren Pl</v>
      </c>
      <c r="C46" s="26" t="s">
        <v>35</v>
      </c>
      <c r="D46" s="27" t="s">
        <v>23</v>
      </c>
      <c r="E46" s="28" t="str">
        <f>HYPERLINK("https://www.compass.com/building/107-12-wren-pl-queens-ny-11433/293417267897677221/","107-12 Wren Pl")</f>
        <v>107-12 Wren Pl</v>
      </c>
      <c r="F46" s="26" t="s">
        <v>24</v>
      </c>
      <c r="G46" s="29">
        <v>385000.0</v>
      </c>
      <c r="H46" s="29">
        <v>301.0</v>
      </c>
      <c r="I46" s="29">
        <v>295.0</v>
      </c>
      <c r="J46" s="29">
        <v>3544.0</v>
      </c>
      <c r="K46" s="26" t="s">
        <v>39</v>
      </c>
      <c r="L46" s="30"/>
      <c r="M46" s="27">
        <v>3.0</v>
      </c>
      <c r="N46" s="27">
        <v>1.0</v>
      </c>
      <c r="O46" s="30"/>
      <c r="P46" s="31">
        <v>1280.0</v>
      </c>
      <c r="Q46" s="48"/>
      <c r="R46" s="35"/>
      <c r="S46" s="35"/>
      <c r="T46" s="29">
        <v>385000.0</v>
      </c>
      <c r="U46" s="33">
        <v>39758.0</v>
      </c>
      <c r="V46" s="1"/>
    </row>
    <row r="47" ht="24.0" customHeight="1">
      <c r="A47" s="1"/>
      <c r="B47" s="25" t="str">
        <f>HYPERLINK("https://www.compass.com/listing/110-22-158th-street-queens-ny-11433/1730613208785079305/view?agent_id=610d3f3370540700019b0833","110-22 158th Street")</f>
        <v>110-22 158th Street</v>
      </c>
      <c r="C47" s="26" t="s">
        <v>35</v>
      </c>
      <c r="D47" s="27" t="s">
        <v>23</v>
      </c>
      <c r="E47" s="28" t="str">
        <f>HYPERLINK("https://www.compass.com/building/110-22-158th-st-queens-ny-11433/293533330421409269/","110-22 158th St")</f>
        <v>110-22 158th St</v>
      </c>
      <c r="F47" s="26" t="s">
        <v>24</v>
      </c>
      <c r="G47" s="29">
        <v>185000.0</v>
      </c>
      <c r="H47" s="34"/>
      <c r="I47" s="29">
        <v>208.0</v>
      </c>
      <c r="J47" s="29">
        <v>2500.0</v>
      </c>
      <c r="K47" s="26" t="s">
        <v>32</v>
      </c>
      <c r="L47" s="27">
        <v>7.0</v>
      </c>
      <c r="M47" s="27">
        <v>3.0</v>
      </c>
      <c r="N47" s="27">
        <v>1.0</v>
      </c>
      <c r="O47" s="30"/>
      <c r="P47" s="30"/>
      <c r="Q47" s="32">
        <v>26.0</v>
      </c>
      <c r="R47" s="33">
        <v>45617.0</v>
      </c>
      <c r="S47" s="33">
        <v>41124.0</v>
      </c>
      <c r="T47" s="29">
        <v>185000.0</v>
      </c>
      <c r="U47" s="33">
        <v>41185.0</v>
      </c>
      <c r="V47" s="1"/>
    </row>
    <row r="48" ht="24.0" customHeight="1">
      <c r="A48" s="1"/>
      <c r="B48" s="25" t="str">
        <f>HYPERLINK("https://www.compass.com/listing/173-37-103rd-road-queens-ny-11433/1730613908235525721/view?agent_id=610d3f3370540700019b0833","173-37 103rd Road")</f>
        <v>173-37 103rd Road</v>
      </c>
      <c r="C48" s="26" t="s">
        <v>35</v>
      </c>
      <c r="D48" s="27" t="s">
        <v>23</v>
      </c>
      <c r="E48" s="28" t="str">
        <f>HYPERLINK("https://www.compass.com/building/173-37-103rd-rd-queens-ny-11433/293534248101552277/","173-37 103rd Rd")</f>
        <v>173-37 103rd Rd</v>
      </c>
      <c r="F48" s="26" t="s">
        <v>24</v>
      </c>
      <c r="G48" s="29">
        <v>182419.0</v>
      </c>
      <c r="H48" s="34"/>
      <c r="I48" s="29">
        <v>127.0</v>
      </c>
      <c r="J48" s="29">
        <v>1528.0</v>
      </c>
      <c r="K48" s="26" t="s">
        <v>32</v>
      </c>
      <c r="L48" s="27">
        <v>6.0</v>
      </c>
      <c r="M48" s="27">
        <v>3.0</v>
      </c>
      <c r="N48" s="27">
        <v>1.0</v>
      </c>
      <c r="O48" s="30"/>
      <c r="P48" s="30"/>
      <c r="Q48" s="32">
        <v>21.0</v>
      </c>
      <c r="R48" s="33">
        <v>45617.0</v>
      </c>
      <c r="S48" s="33">
        <v>41130.0</v>
      </c>
      <c r="T48" s="29">
        <v>182419.0</v>
      </c>
      <c r="U48" s="33">
        <v>41172.0</v>
      </c>
      <c r="V48" s="1"/>
    </row>
    <row r="49" ht="24.0" customHeight="1">
      <c r="A49" s="1"/>
      <c r="B49" s="25" t="str">
        <f>HYPERLINK("https://www.compass.com/listing/164-18-109th-drive-queens-ny-11433/1556965452398641513/view?agent_id=610d3f3370540700019b0833","164-18 109th Drive")</f>
        <v>164-18 109th Drive</v>
      </c>
      <c r="C49" s="26" t="s">
        <v>35</v>
      </c>
      <c r="D49" s="27" t="s">
        <v>23</v>
      </c>
      <c r="E49" s="28" t="str">
        <f>HYPERLINK("https://www.compass.com/building/164-18-109th-dr-queens-ny-11433/293526184392784117/","164-18 109th Dr")</f>
        <v>164-18 109th Dr</v>
      </c>
      <c r="F49" s="26" t="s">
        <v>24</v>
      </c>
      <c r="G49" s="29">
        <v>120000.0</v>
      </c>
      <c r="H49" s="34"/>
      <c r="I49" s="29">
        <v>108.0</v>
      </c>
      <c r="J49" s="29">
        <v>1300.0</v>
      </c>
      <c r="K49" s="26" t="s">
        <v>32</v>
      </c>
      <c r="L49" s="27">
        <v>5.0</v>
      </c>
      <c r="M49" s="27">
        <v>3.0</v>
      </c>
      <c r="N49" s="27">
        <v>1.0</v>
      </c>
      <c r="O49" s="30"/>
      <c r="P49" s="30"/>
      <c r="Q49" s="32">
        <v>282.0</v>
      </c>
      <c r="R49" s="33">
        <v>45597.0</v>
      </c>
      <c r="S49" s="33">
        <v>41681.0</v>
      </c>
      <c r="T49" s="29">
        <v>120000.0</v>
      </c>
      <c r="U49" s="33">
        <v>42012.0</v>
      </c>
      <c r="V49" s="1"/>
    </row>
    <row r="50" ht="24.0" customHeight="1">
      <c r="A50" s="1"/>
      <c r="B50" s="25" t="str">
        <f>HYPERLINK("https://www.compass.com/listing/170-04-108th-avenue-queens-ny-11433/1730508649089449537/view?agent_id=610d3f3370540700019b0833","170-04 108th Avenue")</f>
        <v>170-04 108th Avenue</v>
      </c>
      <c r="C50" s="26" t="s">
        <v>35</v>
      </c>
      <c r="D50" s="27" t="s">
        <v>23</v>
      </c>
      <c r="E50" s="28" t="str">
        <f>HYPERLINK("https://www.compass.com/building/170-04-108th-ave-queens-ny-11433/293532611853211253/","170-04 108th Ave")</f>
        <v>170-04 108th Ave</v>
      </c>
      <c r="F50" s="26" t="s">
        <v>24</v>
      </c>
      <c r="G50" s="29">
        <v>175000.0</v>
      </c>
      <c r="H50" s="29">
        <v>138.0</v>
      </c>
      <c r="I50" s="29">
        <v>162.0</v>
      </c>
      <c r="J50" s="29">
        <v>1941.0</v>
      </c>
      <c r="K50" s="26" t="s">
        <v>32</v>
      </c>
      <c r="L50" s="27">
        <v>7.0</v>
      </c>
      <c r="M50" s="27">
        <v>3.0</v>
      </c>
      <c r="N50" s="27">
        <v>1.0</v>
      </c>
      <c r="O50" s="30"/>
      <c r="P50" s="31">
        <v>1267.0</v>
      </c>
      <c r="Q50" s="32">
        <v>95.0</v>
      </c>
      <c r="R50" s="33">
        <v>45617.0</v>
      </c>
      <c r="S50" s="33">
        <v>41299.0</v>
      </c>
      <c r="T50" s="29">
        <v>175000.0</v>
      </c>
      <c r="U50" s="33">
        <v>41571.0</v>
      </c>
      <c r="V50" s="1"/>
    </row>
    <row r="51" ht="24.0" customHeight="1">
      <c r="A51" s="1"/>
      <c r="B51" s="25" t="str">
        <f>HYPERLINK("https://www.compass.com/listing/110-31-153rd-street-queens-ny-11433/1730631988596497169/view?agent_id=610d3f3370540700019b0833","110-31 153rd Street")</f>
        <v>110-31 153rd Street</v>
      </c>
      <c r="C51" s="26" t="s">
        <v>35</v>
      </c>
      <c r="D51" s="27" t="s">
        <v>23</v>
      </c>
      <c r="E51" s="28" t="str">
        <f>HYPERLINK("https://www.compass.com/building/110-31-153rd-st-queens-ny-11433/293529738343922405/","110-31 153rd St")</f>
        <v>110-31 153rd St</v>
      </c>
      <c r="F51" s="26" t="s">
        <v>24</v>
      </c>
      <c r="G51" s="29">
        <v>335000.0</v>
      </c>
      <c r="H51" s="29">
        <v>387.0</v>
      </c>
      <c r="I51" s="29">
        <v>139.0</v>
      </c>
      <c r="J51" s="29">
        <v>1663.0</v>
      </c>
      <c r="K51" s="26" t="s">
        <v>25</v>
      </c>
      <c r="L51" s="27">
        <v>6.0</v>
      </c>
      <c r="M51" s="27">
        <v>3.0</v>
      </c>
      <c r="N51" s="27">
        <v>1.0</v>
      </c>
      <c r="O51" s="30"/>
      <c r="P51" s="27">
        <v>866.0</v>
      </c>
      <c r="Q51" s="32">
        <v>107.0</v>
      </c>
      <c r="R51" s="33">
        <v>45623.0</v>
      </c>
      <c r="S51" s="33">
        <v>41800.0</v>
      </c>
      <c r="T51" s="29">
        <v>335000.0</v>
      </c>
      <c r="U51" s="33">
        <v>41946.0</v>
      </c>
      <c r="V51" s="1"/>
    </row>
    <row r="52" ht="24.0" customHeight="1">
      <c r="A52" s="1"/>
      <c r="B52" s="25" t="str">
        <f>HYPERLINK("https://www.compass.com/listing/107-06-guy-r-brewer-boulevard-queens-ny-11433/197756893777691073/view?agent_id=610d3f3370540700019b0833","107-06 Guy R Brewer Boulevard")</f>
        <v>107-06 Guy R Brewer Boulevard</v>
      </c>
      <c r="C52" s="26" t="s">
        <v>35</v>
      </c>
      <c r="D52" s="27" t="s">
        <v>23</v>
      </c>
      <c r="E52" s="28" t="str">
        <f>HYPERLINK("https://www.compass.com/building/107-06-guy-r-brewer-blvd-queens-ny-11433/307451021454103093/","107-06 Guy R Brewer Blvd")</f>
        <v>107-06 Guy R Brewer Blvd</v>
      </c>
      <c r="F52" s="26" t="s">
        <v>24</v>
      </c>
      <c r="G52" s="29">
        <v>160000.0</v>
      </c>
      <c r="H52" s="34"/>
      <c r="I52" s="29">
        <v>0.0</v>
      </c>
      <c r="J52" s="29">
        <v>0.0</v>
      </c>
      <c r="K52" s="26" t="s">
        <v>31</v>
      </c>
      <c r="L52" s="27">
        <v>7.0</v>
      </c>
      <c r="M52" s="27">
        <v>3.0</v>
      </c>
      <c r="N52" s="27">
        <v>1.0</v>
      </c>
      <c r="O52" s="27">
        <v>0.0</v>
      </c>
      <c r="P52" s="30"/>
      <c r="Q52" s="32">
        <v>85.0</v>
      </c>
      <c r="R52" s="33">
        <v>45625.0</v>
      </c>
      <c r="S52" s="33">
        <v>42480.0</v>
      </c>
      <c r="T52" s="29">
        <v>160000.0</v>
      </c>
      <c r="U52" s="33">
        <v>42710.0</v>
      </c>
      <c r="V52" s="1"/>
    </row>
    <row r="53" ht="24.0" customHeight="1">
      <c r="A53" s="1"/>
      <c r="B53" s="25" t="str">
        <f>HYPERLINK("https://www.compass.com/listing/107-22-guy-r-brewer-boulevard-unit-14b-queens-ny-11433/29130837219963457/view?agent_id=610d3f3370540700019b0833","107-22 Guy R Brewer Blvd, Unit 14B")</f>
        <v>107-22 Guy R Brewer Blvd, Unit 14B</v>
      </c>
      <c r="C53" s="26" t="s">
        <v>35</v>
      </c>
      <c r="D53" s="27" t="s">
        <v>23</v>
      </c>
      <c r="E53" s="28" t="str">
        <f>HYPERLINK("https://www.compass.com/building/107-22-guy-r-brewer-blvd-queens-ny-11433/307460545745528581/","107-22 Guy R Brewer Blvd")</f>
        <v>107-22 Guy R Brewer Blvd</v>
      </c>
      <c r="F53" s="26" t="s">
        <v>24</v>
      </c>
      <c r="G53" s="29">
        <v>150000.0</v>
      </c>
      <c r="H53" s="29">
        <v>165.0</v>
      </c>
      <c r="I53" s="29">
        <v>283.0</v>
      </c>
      <c r="J53" s="29">
        <v>1024.0</v>
      </c>
      <c r="K53" s="26" t="s">
        <v>31</v>
      </c>
      <c r="L53" s="30"/>
      <c r="M53" s="27">
        <v>3.0</v>
      </c>
      <c r="N53" s="27">
        <v>1.0</v>
      </c>
      <c r="O53" s="27">
        <v>0.0</v>
      </c>
      <c r="P53" s="27">
        <v>911.0</v>
      </c>
      <c r="Q53" s="48"/>
      <c r="R53" s="35"/>
      <c r="S53" s="35"/>
      <c r="T53" s="29">
        <v>150000.0</v>
      </c>
      <c r="U53" s="33">
        <v>39087.0</v>
      </c>
      <c r="V53" s="1"/>
    </row>
    <row r="54" ht="24.0" customHeight="1">
      <c r="A54" s="1"/>
      <c r="B54" s="25" t="str">
        <f>HYPERLINK("https://www.compass.com/listing/107-30-guy-r-brewer-boulevard-unit-18b-queens-ny-11433/546833731221402033/view?agent_id=610d3f3370540700019b0833","107-30 Guy R Brewer Blvd, Unit 18B")</f>
        <v>107-30 Guy R Brewer Blvd, Unit 18B</v>
      </c>
      <c r="C54" s="26" t="s">
        <v>35</v>
      </c>
      <c r="D54" s="27" t="s">
        <v>23</v>
      </c>
      <c r="E54" s="28" t="str">
        <f>HYPERLINK("https://www.compass.com/building/107-30-guy-r-brewer-blvd-queens-ny-11433/567632778415910733/","107-30 Guy R Brewer Blvd")</f>
        <v>107-30 Guy R Brewer Blvd</v>
      </c>
      <c r="F54" s="26" t="s">
        <v>24</v>
      </c>
      <c r="G54" s="29">
        <v>180000.0</v>
      </c>
      <c r="H54" s="29">
        <v>198.0</v>
      </c>
      <c r="I54" s="29">
        <v>550.0</v>
      </c>
      <c r="J54" s="29">
        <v>3019.0</v>
      </c>
      <c r="K54" s="26" t="s">
        <v>31</v>
      </c>
      <c r="L54" s="30"/>
      <c r="M54" s="27">
        <v>3.0</v>
      </c>
      <c r="N54" s="27">
        <v>1.0</v>
      </c>
      <c r="O54" s="30"/>
      <c r="P54" s="27">
        <v>911.0</v>
      </c>
      <c r="Q54" s="48"/>
      <c r="R54" s="35"/>
      <c r="S54" s="35"/>
      <c r="T54" s="29">
        <v>180000.0</v>
      </c>
      <c r="U54" s="33">
        <v>38334.0</v>
      </c>
      <c r="V54" s="1"/>
    </row>
    <row r="55" ht="24.0" customHeight="1">
      <c r="A55" s="1"/>
      <c r="B55" s="25" t="str">
        <f>HYPERLINK("https://www.compass.com/listing/110-03-164th-street-queens-ny-11433/1556375118128199313/view?agent_id=610d3f3370540700019b0833","110-03 164th Street")</f>
        <v>110-03 164th Street</v>
      </c>
      <c r="C55" s="26" t="s">
        <v>35</v>
      </c>
      <c r="D55" s="27" t="s">
        <v>23</v>
      </c>
      <c r="E55" s="28" t="str">
        <f>HYPERLINK("https://www.compass.com/building/110-03-164th-st-queens-ny-11433/293528286426896965/","110-03 164th St")</f>
        <v>110-03 164th St</v>
      </c>
      <c r="F55" s="26" t="s">
        <v>24</v>
      </c>
      <c r="G55" s="29">
        <v>160000.0</v>
      </c>
      <c r="H55" s="29">
        <v>107.0</v>
      </c>
      <c r="I55" s="29">
        <v>208.0</v>
      </c>
      <c r="J55" s="29">
        <v>2500.0</v>
      </c>
      <c r="K55" s="26" t="s">
        <v>32</v>
      </c>
      <c r="L55" s="27">
        <v>6.0</v>
      </c>
      <c r="M55" s="27">
        <v>3.0</v>
      </c>
      <c r="N55" s="27">
        <v>1.0</v>
      </c>
      <c r="O55" s="30"/>
      <c r="P55" s="31">
        <v>1500.0</v>
      </c>
      <c r="Q55" s="32">
        <v>110.0</v>
      </c>
      <c r="R55" s="33">
        <v>45597.0</v>
      </c>
      <c r="S55" s="33">
        <v>41145.0</v>
      </c>
      <c r="T55" s="29">
        <v>160000.0</v>
      </c>
      <c r="U55" s="33">
        <v>41443.0</v>
      </c>
      <c r="V55" s="1"/>
    </row>
    <row r="56" ht="24.0" customHeight="1">
      <c r="A56" s="1"/>
      <c r="B56" s="25" t="str">
        <f>HYPERLINK("https://www.compass.com/listing/111-12-173rd-street-queens-ny-11433/1730619550715331553/view?agent_id=610d3f3370540700019b0833","111-12 173rd Street")</f>
        <v>111-12 173rd Street</v>
      </c>
      <c r="C56" s="26" t="s">
        <v>35</v>
      </c>
      <c r="D56" s="27" t="s">
        <v>23</v>
      </c>
      <c r="E56" s="28" t="str">
        <f>HYPERLINK("https://www.compass.com/building/111-12-173rd-st-queens-ny-11433/293418175939261861/","111-12 173rd St")</f>
        <v>111-12 173rd St</v>
      </c>
      <c r="F56" s="26" t="s">
        <v>24</v>
      </c>
      <c r="G56" s="29">
        <v>150000.0</v>
      </c>
      <c r="H56" s="29">
        <v>127.0</v>
      </c>
      <c r="I56" s="29">
        <v>255.0</v>
      </c>
      <c r="J56" s="29">
        <v>3065.0</v>
      </c>
      <c r="K56" s="26" t="s">
        <v>32</v>
      </c>
      <c r="L56" s="27">
        <v>5.0</v>
      </c>
      <c r="M56" s="27">
        <v>3.0</v>
      </c>
      <c r="N56" s="27">
        <v>1.0</v>
      </c>
      <c r="O56" s="27">
        <v>0.0</v>
      </c>
      <c r="P56" s="31">
        <v>1180.0</v>
      </c>
      <c r="Q56" s="32">
        <v>350.0</v>
      </c>
      <c r="R56" s="33">
        <v>45597.0</v>
      </c>
      <c r="S56" s="33">
        <v>42221.0</v>
      </c>
      <c r="T56" s="29">
        <v>150000.0</v>
      </c>
      <c r="U56" s="33">
        <v>42571.0</v>
      </c>
      <c r="V56" s="1"/>
    </row>
    <row r="57" ht="24.0" customHeight="1">
      <c r="A57" s="1"/>
      <c r="B57" s="25" t="str">
        <f>HYPERLINK("https://www.compass.com/listing/107-42-164th-street-queens-ny-11433/1730621300696579009/view?agent_id=610d3f3370540700019b0833","107-42 164th Street")</f>
        <v>107-42 164th Street</v>
      </c>
      <c r="C57" s="26" t="s">
        <v>35</v>
      </c>
      <c r="D57" s="27" t="s">
        <v>23</v>
      </c>
      <c r="E57" s="28" t="str">
        <f>HYPERLINK("https://www.compass.com/building/107-42-164th-st-queens-ny-11433/293527522023332997/","107-42 164th St")</f>
        <v>107-42 164th St</v>
      </c>
      <c r="F57" s="26" t="s">
        <v>24</v>
      </c>
      <c r="G57" s="29">
        <v>159705.0</v>
      </c>
      <c r="H57" s="34"/>
      <c r="I57" s="29">
        <v>208.0</v>
      </c>
      <c r="J57" s="29">
        <v>2500.0</v>
      </c>
      <c r="K57" s="26" t="s">
        <v>32</v>
      </c>
      <c r="L57" s="27">
        <v>6.0</v>
      </c>
      <c r="M57" s="27">
        <v>3.0</v>
      </c>
      <c r="N57" s="27">
        <v>1.0</v>
      </c>
      <c r="O57" s="30"/>
      <c r="P57" s="30"/>
      <c r="Q57" s="32">
        <v>55.0</v>
      </c>
      <c r="R57" s="33">
        <v>45617.0</v>
      </c>
      <c r="S57" s="33">
        <v>41694.0</v>
      </c>
      <c r="T57" s="29">
        <v>159705.0</v>
      </c>
      <c r="U57" s="33">
        <v>41808.0</v>
      </c>
      <c r="V57" s="1"/>
    </row>
    <row r="58" ht="24.0" customHeight="1">
      <c r="A58" s="1"/>
      <c r="B58" s="25" t="str">
        <f>HYPERLINK("https://www.compass.com/listing/164-21-104th-road-queens-ny-11433/1730803389232312553/view?agent_id=610d3f3370540700019b0833","164-21 104th Road")</f>
        <v>164-21 104th Road</v>
      </c>
      <c r="C58" s="26" t="s">
        <v>35</v>
      </c>
      <c r="D58" s="27" t="s">
        <v>23</v>
      </c>
      <c r="E58" s="28" t="str">
        <f>HYPERLINK("https://www.compass.com/building/164-21-104th-rd-queens-ny-11433/293417438236673781/","164-21 104th Rd")</f>
        <v>164-21 104th Rd</v>
      </c>
      <c r="F58" s="26" t="s">
        <v>24</v>
      </c>
      <c r="G58" s="29">
        <v>175000.0</v>
      </c>
      <c r="H58" s="34"/>
      <c r="I58" s="29">
        <v>0.0</v>
      </c>
      <c r="J58" s="29">
        <v>0.0</v>
      </c>
      <c r="K58" s="26" t="s">
        <v>32</v>
      </c>
      <c r="L58" s="27">
        <v>6.0</v>
      </c>
      <c r="M58" s="27">
        <v>3.0</v>
      </c>
      <c r="N58" s="27">
        <v>1.0</v>
      </c>
      <c r="O58" s="30"/>
      <c r="P58" s="30"/>
      <c r="Q58" s="32">
        <v>224.0</v>
      </c>
      <c r="R58" s="33">
        <v>45617.0</v>
      </c>
      <c r="S58" s="33">
        <v>41431.0</v>
      </c>
      <c r="T58" s="29">
        <v>175000.0</v>
      </c>
      <c r="U58" s="33">
        <v>41792.0</v>
      </c>
      <c r="V58" s="1"/>
    </row>
    <row r="59" ht="24.0" customHeight="1">
      <c r="A59" s="1"/>
      <c r="B59" s="25" t="str">
        <f>HYPERLINK("https://www.compass.com/listing/107-10-guy-r-brewer-boulevard-unit-9c-queens-ny-11433/1010378063939746641/view?agent_id=610d3f3370540700019b0833","107-10 Guy R Brewer Boulevard, Unit 9C")</f>
        <v>107-10 Guy R Brewer Boulevard, Unit 9C</v>
      </c>
      <c r="C59" s="26" t="s">
        <v>35</v>
      </c>
      <c r="D59" s="27" t="s">
        <v>23</v>
      </c>
      <c r="E59" s="28" t="str">
        <f>HYPERLINK("https://www.compass.com/building/107-10-guy-r-brewer-blvd-queens-ny-11433/307439301226595861/","107-10 Guy R Brewer Blvd")</f>
        <v>107-10 Guy R Brewer Blvd</v>
      </c>
      <c r="F59" s="26" t="s">
        <v>24</v>
      </c>
      <c r="G59" s="29">
        <v>399000.0</v>
      </c>
      <c r="H59" s="29">
        <v>432.0</v>
      </c>
      <c r="I59" s="29">
        <v>531.0</v>
      </c>
      <c r="J59" s="29">
        <v>2851.0</v>
      </c>
      <c r="K59" s="26" t="s">
        <v>31</v>
      </c>
      <c r="L59" s="27">
        <v>6.0</v>
      </c>
      <c r="M59" s="27">
        <v>3.0</v>
      </c>
      <c r="N59" s="27">
        <v>1.0</v>
      </c>
      <c r="O59" s="30"/>
      <c r="P59" s="27">
        <v>923.0</v>
      </c>
      <c r="Q59" s="32">
        <v>47.0</v>
      </c>
      <c r="R59" s="33">
        <v>45628.0</v>
      </c>
      <c r="S59" s="33">
        <v>44645.0</v>
      </c>
      <c r="T59" s="29">
        <v>399000.0</v>
      </c>
      <c r="U59" s="33">
        <v>44768.0</v>
      </c>
      <c r="V59" s="1"/>
    </row>
    <row r="60" ht="24.0" customHeight="1">
      <c r="A60" s="1"/>
      <c r="B60" s="25" t="str">
        <f>HYPERLINK("https://www.compass.com/listing/111-48-158th-street-queens-ny-11433/1556372360314622705/view?agent_id=610d3f3370540700019b0833","111-48 158th Street")</f>
        <v>111-48 158th Street</v>
      </c>
      <c r="C60" s="26" t="s">
        <v>35</v>
      </c>
      <c r="D60" s="27" t="s">
        <v>23</v>
      </c>
      <c r="E60" s="28" t="str">
        <f>HYPERLINK("https://www.compass.com/building/111-48-158th-st-queens-ny-11433/293533799730399189/","111-48 158th St")</f>
        <v>111-48 158th St</v>
      </c>
      <c r="F60" s="26" t="s">
        <v>24</v>
      </c>
      <c r="G60" s="29">
        <v>224094.0</v>
      </c>
      <c r="H60" s="34"/>
      <c r="I60" s="29">
        <v>153.0</v>
      </c>
      <c r="J60" s="29">
        <v>1836.0</v>
      </c>
      <c r="K60" s="26" t="s">
        <v>32</v>
      </c>
      <c r="L60" s="27">
        <v>5.0</v>
      </c>
      <c r="M60" s="27">
        <v>3.0</v>
      </c>
      <c r="N60" s="27">
        <v>1.0</v>
      </c>
      <c r="O60" s="30"/>
      <c r="P60" s="30"/>
      <c r="Q60" s="32">
        <v>29.0</v>
      </c>
      <c r="R60" s="33">
        <v>45597.0</v>
      </c>
      <c r="S60" s="33">
        <v>41428.0</v>
      </c>
      <c r="T60" s="29">
        <v>224094.0</v>
      </c>
      <c r="U60" s="33">
        <v>41481.0</v>
      </c>
      <c r="V60" s="1"/>
    </row>
    <row r="61" ht="24.0" customHeight="1">
      <c r="A61" s="1"/>
      <c r="B61" s="25" t="str">
        <f>HYPERLINK("https://www.compass.com/listing/109-35-175th-street-queens-ny-11433/1730716080424323689/view?agent_id=610d3f3370540700019b0833","109-35 175th Street")</f>
        <v>109-35 175th Street</v>
      </c>
      <c r="C61" s="26" t="s">
        <v>35</v>
      </c>
      <c r="D61" s="27" t="s">
        <v>23</v>
      </c>
      <c r="E61" s="28" t="str">
        <f>HYPERLINK("https://www.compass.com/building/109-35-175th-st-queens-ny-11433/293532387315379509/","109-35 175th St")</f>
        <v>109-35 175th St</v>
      </c>
      <c r="F61" s="26" t="s">
        <v>24</v>
      </c>
      <c r="G61" s="29">
        <v>199900.0</v>
      </c>
      <c r="H61" s="34"/>
      <c r="I61" s="29">
        <v>213.0</v>
      </c>
      <c r="J61" s="29">
        <v>2559.0</v>
      </c>
      <c r="K61" s="26" t="s">
        <v>32</v>
      </c>
      <c r="L61" s="27">
        <v>7.0</v>
      </c>
      <c r="M61" s="27">
        <v>3.0</v>
      </c>
      <c r="N61" s="27">
        <v>1.0</v>
      </c>
      <c r="O61" s="30"/>
      <c r="P61" s="30"/>
      <c r="Q61" s="32">
        <v>73.0</v>
      </c>
      <c r="R61" s="33">
        <v>45617.0</v>
      </c>
      <c r="S61" s="33">
        <v>41587.0</v>
      </c>
      <c r="T61" s="29">
        <v>199900.0</v>
      </c>
      <c r="U61" s="33">
        <v>42020.0</v>
      </c>
      <c r="V61" s="1"/>
    </row>
    <row r="62" ht="24.0" customHeight="1">
      <c r="A62" s="1"/>
      <c r="B62" s="25" t="str">
        <f>HYPERLINK("https://www.compass.com/listing/164-11-108th-avenue-queens-ny-11433/29131028144691937/view?agent_id=610d3f3370540700019b0833","164-11 108th Avenue")</f>
        <v>164-11 108th Avenue</v>
      </c>
      <c r="C62" s="26" t="s">
        <v>35</v>
      </c>
      <c r="D62" s="27" t="s">
        <v>23</v>
      </c>
      <c r="E62" s="28" t="str">
        <f>HYPERLINK("https://www.compass.com/building/164-11-108th-ave-queens-ny-11433/293526885319605333/","164-11 108th Ave")</f>
        <v>164-11 108th Ave</v>
      </c>
      <c r="F62" s="26" t="s">
        <v>24</v>
      </c>
      <c r="G62" s="29">
        <v>319410.0</v>
      </c>
      <c r="H62" s="34"/>
      <c r="I62" s="29">
        <v>226.0</v>
      </c>
      <c r="J62" s="29">
        <v>2716.0</v>
      </c>
      <c r="K62" s="26" t="s">
        <v>32</v>
      </c>
      <c r="L62" s="27">
        <v>8.0</v>
      </c>
      <c r="M62" s="27">
        <v>3.0</v>
      </c>
      <c r="N62" s="27">
        <v>1.0</v>
      </c>
      <c r="O62" s="30"/>
      <c r="P62" s="30"/>
      <c r="Q62" s="32">
        <v>77.0</v>
      </c>
      <c r="R62" s="33">
        <v>45617.0</v>
      </c>
      <c r="S62" s="33">
        <v>42873.0</v>
      </c>
      <c r="T62" s="29">
        <v>319410.0</v>
      </c>
      <c r="U62" s="33">
        <v>42977.0</v>
      </c>
      <c r="V62" s="1"/>
    </row>
    <row r="63" ht="24.0" customHeight="1">
      <c r="A63" s="1"/>
      <c r="B63" s="25" t="str">
        <f>HYPERLINK("https://www.compass.com/listing/110-24-164th-street-queens-ny-11433/29131197225378017/view?agent_id=610d3f3370540700019b0833","110-24 164th Street")</f>
        <v>110-24 164th Street</v>
      </c>
      <c r="C63" s="26" t="s">
        <v>35</v>
      </c>
      <c r="D63" s="27" t="s">
        <v>23</v>
      </c>
      <c r="E63" s="28" t="str">
        <f>HYPERLINK("https://www.compass.com/building/110-24-164th-st-queens-ny-11433/293532430223126389/","110-24 164th St")</f>
        <v>110-24 164th St</v>
      </c>
      <c r="F63" s="26" t="s">
        <v>24</v>
      </c>
      <c r="G63" s="29">
        <v>220000.0</v>
      </c>
      <c r="H63" s="34"/>
      <c r="I63" s="29">
        <v>181.0</v>
      </c>
      <c r="J63" s="29">
        <v>2176.0</v>
      </c>
      <c r="K63" s="26" t="s">
        <v>32</v>
      </c>
      <c r="L63" s="27">
        <v>8.0</v>
      </c>
      <c r="M63" s="27">
        <v>3.0</v>
      </c>
      <c r="N63" s="27">
        <v>1.0</v>
      </c>
      <c r="O63" s="27">
        <v>0.0</v>
      </c>
      <c r="P63" s="30"/>
      <c r="Q63" s="32">
        <v>158.0</v>
      </c>
      <c r="R63" s="33">
        <v>45616.0</v>
      </c>
      <c r="S63" s="33">
        <v>42216.0</v>
      </c>
      <c r="T63" s="29">
        <v>220000.0</v>
      </c>
      <c r="U63" s="33">
        <v>42482.0</v>
      </c>
      <c r="V63" s="1"/>
    </row>
    <row r="64" ht="24.0" customHeight="1">
      <c r="A64" s="1"/>
      <c r="B64" s="25" t="str">
        <f>HYPERLINK("https://www.compass.com/listing/171-30-103rd-road-queens-ny-11433/29131467170795409/view?agent_id=610d3f3370540700019b0833","171-30 103rd Road")</f>
        <v>171-30 103rd Road</v>
      </c>
      <c r="C64" s="26" t="s">
        <v>35</v>
      </c>
      <c r="D64" s="27" t="s">
        <v>23</v>
      </c>
      <c r="E64" s="28" t="str">
        <f>HYPERLINK("https://www.compass.com/building/171-30-103rd-rd-queens-ny-11433/293526343507833445/","171-30 103rd Rd")</f>
        <v>171-30 103rd Rd</v>
      </c>
      <c r="F64" s="26" t="s">
        <v>24</v>
      </c>
      <c r="G64" s="29">
        <v>205000.0</v>
      </c>
      <c r="H64" s="34"/>
      <c r="I64" s="29">
        <v>167.0</v>
      </c>
      <c r="J64" s="29">
        <v>2000.0</v>
      </c>
      <c r="K64" s="26" t="s">
        <v>32</v>
      </c>
      <c r="L64" s="27">
        <v>7.0</v>
      </c>
      <c r="M64" s="27">
        <v>3.0</v>
      </c>
      <c r="N64" s="27">
        <v>1.0</v>
      </c>
      <c r="O64" s="30"/>
      <c r="P64" s="30"/>
      <c r="Q64" s="32">
        <v>23.0</v>
      </c>
      <c r="R64" s="33">
        <v>45597.0</v>
      </c>
      <c r="S64" s="33">
        <v>41514.0</v>
      </c>
      <c r="T64" s="29">
        <v>205000.0</v>
      </c>
      <c r="U64" s="33">
        <v>41662.0</v>
      </c>
      <c r="V64" s="1"/>
    </row>
    <row r="65" ht="24.0" customHeight="1">
      <c r="A65" s="1"/>
      <c r="B65" s="25" t="str">
        <f>HYPERLINK("https://www.compass.com/listing/150-25-113th-avenue-queens-ny-11433/29141241660832513/view?agent_id=610d3f3370540700019b0833","150-25 113th Ave")</f>
        <v>150-25 113th Ave</v>
      </c>
      <c r="C65" s="26" t="s">
        <v>35</v>
      </c>
      <c r="D65" s="27" t="s">
        <v>23</v>
      </c>
      <c r="E65" s="28" t="str">
        <f>HYPERLINK("https://www.compass.com/building/150-25-113th-ave-queens-ny-11433/293532953294731525/","150-25 113th Ave")</f>
        <v>150-25 113th Ave</v>
      </c>
      <c r="F65" s="26" t="s">
        <v>24</v>
      </c>
      <c r="G65" s="29">
        <v>175000.0</v>
      </c>
      <c r="H65" s="29">
        <v>190.0</v>
      </c>
      <c r="I65" s="29">
        <v>341.0</v>
      </c>
      <c r="J65" s="29">
        <v>4092.0</v>
      </c>
      <c r="K65" s="26" t="s">
        <v>39</v>
      </c>
      <c r="L65" s="30"/>
      <c r="M65" s="27">
        <v>3.0</v>
      </c>
      <c r="N65" s="27">
        <v>1.0</v>
      </c>
      <c r="O65" s="30"/>
      <c r="P65" s="27">
        <v>920.0</v>
      </c>
      <c r="Q65" s="48"/>
      <c r="R65" s="35"/>
      <c r="S65" s="35"/>
      <c r="T65" s="29">
        <v>175000.0</v>
      </c>
      <c r="U65" s="33">
        <v>38463.0</v>
      </c>
      <c r="V65" s="1"/>
    </row>
    <row r="66" ht="24.0" customHeight="1">
      <c r="A66" s="1"/>
      <c r="B66" s="25" t="str">
        <f>HYPERLINK("https://www.compass.com/listing/111-28-174th-street-queens-ny-11433/1730621732340681873/view?agent_id=610d3f3370540700019b0833","111-28 174th St")</f>
        <v>111-28 174th St</v>
      </c>
      <c r="C66" s="26" t="s">
        <v>35</v>
      </c>
      <c r="D66" s="27" t="s">
        <v>23</v>
      </c>
      <c r="E66" s="28" t="str">
        <f>HYPERLINK("https://www.compass.com/building/111-28-174th-st-queens-ny-11433/293530918562308053/","111-28 174th St")</f>
        <v>111-28 174th St</v>
      </c>
      <c r="F66" s="26" t="s">
        <v>24</v>
      </c>
      <c r="G66" s="29">
        <v>417150.0</v>
      </c>
      <c r="H66" s="34"/>
      <c r="I66" s="29">
        <v>296.0</v>
      </c>
      <c r="J66" s="29">
        <v>3550.0</v>
      </c>
      <c r="K66" s="26" t="s">
        <v>32</v>
      </c>
      <c r="L66" s="27">
        <v>7.0</v>
      </c>
      <c r="M66" s="27">
        <v>3.0</v>
      </c>
      <c r="N66" s="27">
        <v>1.0</v>
      </c>
      <c r="O66" s="30"/>
      <c r="P66" s="30"/>
      <c r="Q66" s="32">
        <v>22.0</v>
      </c>
      <c r="R66" s="33">
        <v>45616.0</v>
      </c>
      <c r="S66" s="33">
        <v>42214.0</v>
      </c>
      <c r="T66" s="29">
        <v>417150.0</v>
      </c>
      <c r="U66" s="33">
        <v>42286.0</v>
      </c>
      <c r="V66" s="1"/>
    </row>
    <row r="67" ht="24.0" customHeight="1">
      <c r="A67" s="1"/>
      <c r="B67" s="25" t="str">
        <f>HYPERLINK("https://www.compass.com/listing/170-08-104th-avenue-queens-ny-11433/1028229978518422393/view?agent_id=610d3f3370540700019b0833","170-08 104th Ave")</f>
        <v>170-08 104th Ave</v>
      </c>
      <c r="C67" s="26" t="s">
        <v>35</v>
      </c>
      <c r="D67" s="27" t="s">
        <v>23</v>
      </c>
      <c r="E67" s="28" t="str">
        <f>HYPERLINK("https://www.compass.com/building/170-08-104th-ave-queens-ny-11433/293418191240089013/","170-08 104th Ave")</f>
        <v>170-08 104th Ave</v>
      </c>
      <c r="F67" s="26" t="s">
        <v>24</v>
      </c>
      <c r="G67" s="29">
        <v>390000.0</v>
      </c>
      <c r="H67" s="29">
        <v>316.0</v>
      </c>
      <c r="I67" s="29">
        <v>301.0</v>
      </c>
      <c r="J67" s="29">
        <v>3612.0</v>
      </c>
      <c r="K67" s="26" t="s">
        <v>32</v>
      </c>
      <c r="L67" s="27">
        <v>7.0</v>
      </c>
      <c r="M67" s="27">
        <v>3.0</v>
      </c>
      <c r="N67" s="27">
        <v>1.0</v>
      </c>
      <c r="O67" s="30"/>
      <c r="P67" s="31">
        <v>1234.0</v>
      </c>
      <c r="Q67" s="32">
        <v>18.0</v>
      </c>
      <c r="R67" s="33">
        <v>45597.0</v>
      </c>
      <c r="S67" s="33">
        <v>44670.0</v>
      </c>
      <c r="T67" s="29">
        <v>390000.0</v>
      </c>
      <c r="U67" s="33">
        <v>45429.0</v>
      </c>
      <c r="V67" s="1"/>
    </row>
    <row r="68" ht="24.0" customHeight="1">
      <c r="A68" s="1"/>
      <c r="B68" s="25" t="str">
        <f>HYPERLINK("https://www.compass.com/listing/107-61-watson-place-queens-ny-11433/1271282887269580033/view?agent_id=610d3f3370540700019b0833","107-61 Watson Pl")</f>
        <v>107-61 Watson Pl</v>
      </c>
      <c r="C68" s="26" t="s">
        <v>35</v>
      </c>
      <c r="D68" s="27" t="s">
        <v>23</v>
      </c>
      <c r="E68" s="28" t="str">
        <f>HYPERLINK("https://www.compass.com/building/107-61-watson-pl-queens-ny-11433/293534405924751141/","107-61 Watson Pl")</f>
        <v>107-61 Watson Pl</v>
      </c>
      <c r="F68" s="26" t="s">
        <v>24</v>
      </c>
      <c r="G68" s="29">
        <v>372000.0</v>
      </c>
      <c r="H68" s="29">
        <v>284.0</v>
      </c>
      <c r="I68" s="29">
        <v>327.0</v>
      </c>
      <c r="J68" s="29">
        <v>3929.0</v>
      </c>
      <c r="K68" s="26" t="s">
        <v>36</v>
      </c>
      <c r="L68" s="27">
        <v>6.0</v>
      </c>
      <c r="M68" s="27">
        <v>3.0</v>
      </c>
      <c r="N68" s="27">
        <v>1.0</v>
      </c>
      <c r="O68" s="30"/>
      <c r="P68" s="31">
        <v>1312.0</v>
      </c>
      <c r="Q68" s="32">
        <v>14.0</v>
      </c>
      <c r="R68" s="33">
        <v>45617.0</v>
      </c>
      <c r="S68" s="33">
        <v>45005.0</v>
      </c>
      <c r="T68" s="29">
        <v>372000.0</v>
      </c>
      <c r="U68" s="33">
        <v>45077.0</v>
      </c>
      <c r="V68" s="1"/>
    </row>
    <row r="69" ht="24.0" customHeight="1">
      <c r="A69" s="1"/>
      <c r="B69" s="25" t="str">
        <f>HYPERLINK("https://www.compass.com/listing/107-55-watson-place-queens-ny-11433/1550856332129003713/view?agent_id=610d3f3370540700019b0833","107-55 Watson Pl")</f>
        <v>107-55 Watson Pl</v>
      </c>
      <c r="C69" s="26" t="s">
        <v>35</v>
      </c>
      <c r="D69" s="27" t="s">
        <v>23</v>
      </c>
      <c r="E69" s="28" t="str">
        <f>HYPERLINK("https://www.compass.com/building/107-55-watson-pl-queens-ny-11433/293533269452980069/","107-55 Watson Pl")</f>
        <v>107-55 Watson Pl</v>
      </c>
      <c r="F69" s="26" t="s">
        <v>24</v>
      </c>
      <c r="G69" s="29">
        <v>390390.0</v>
      </c>
      <c r="H69" s="34"/>
      <c r="I69" s="29">
        <v>363.0</v>
      </c>
      <c r="J69" s="29">
        <v>4360.0</v>
      </c>
      <c r="K69" s="26" t="s">
        <v>32</v>
      </c>
      <c r="L69" s="27">
        <v>6.0</v>
      </c>
      <c r="M69" s="27">
        <v>3.0</v>
      </c>
      <c r="N69" s="27">
        <v>1.0</v>
      </c>
      <c r="O69" s="30"/>
      <c r="P69" s="30"/>
      <c r="Q69" s="32">
        <v>27.0</v>
      </c>
      <c r="R69" s="33">
        <v>45617.0</v>
      </c>
      <c r="S69" s="33">
        <v>45391.0</v>
      </c>
      <c r="T69" s="29">
        <v>390390.0</v>
      </c>
      <c r="U69" s="33">
        <v>45435.0</v>
      </c>
      <c r="V69" s="1"/>
    </row>
    <row r="70" ht="24.0" customHeight="1">
      <c r="A70" s="1"/>
      <c r="B70" s="25" t="str">
        <f>HYPERLINK("https://www.compass.com/listing/107-22-guy-r-brewer-boulevard-unit-14b-queens-ny-11433/29130837219963473/view?agent_id=610d3f3370540700019b0833","107-22 Guy R Brewer Blvd, Unit 14B")</f>
        <v>107-22 Guy R Brewer Blvd, Unit 14B</v>
      </c>
      <c r="C70" s="26" t="s">
        <v>35</v>
      </c>
      <c r="D70" s="27" t="s">
        <v>23</v>
      </c>
      <c r="E70" s="28" t="str">
        <f>HYPERLINK("https://www.compass.com/building/107-22-guy-r-brewer-blvd-queens-ny-11433/307460545745528581/","107-22 Guy R Brewer Blvd")</f>
        <v>107-22 Guy R Brewer Blvd</v>
      </c>
      <c r="F70" s="26" t="s">
        <v>24</v>
      </c>
      <c r="G70" s="29">
        <v>240000.0</v>
      </c>
      <c r="H70" s="29">
        <v>240.0</v>
      </c>
      <c r="I70" s="29">
        <v>283.0</v>
      </c>
      <c r="J70" s="29">
        <v>1024.0</v>
      </c>
      <c r="K70" s="26" t="s">
        <v>31</v>
      </c>
      <c r="L70" s="27">
        <v>6.0</v>
      </c>
      <c r="M70" s="27">
        <v>3.0</v>
      </c>
      <c r="N70" s="27">
        <v>1.0</v>
      </c>
      <c r="O70" s="30"/>
      <c r="P70" s="31">
        <v>1000.0</v>
      </c>
      <c r="Q70" s="32">
        <v>61.0</v>
      </c>
      <c r="R70" s="33">
        <v>45617.0</v>
      </c>
      <c r="S70" s="33">
        <v>42883.0</v>
      </c>
      <c r="T70" s="29">
        <v>240000.0</v>
      </c>
      <c r="U70" s="33">
        <v>42997.0</v>
      </c>
      <c r="V70" s="1"/>
    </row>
    <row r="71" ht="24.0" customHeight="1">
      <c r="A71" s="1"/>
      <c r="B71" s="25" t="str">
        <f>HYPERLINK("https://www.compass.com/listing/150-19-113th-avenue-queens-ny-11433/1556321614705359713/view?agent_id=610d3f3370540700019b0833","150-19 113th Ave")</f>
        <v>150-19 113th Ave</v>
      </c>
      <c r="C71" s="26" t="s">
        <v>35</v>
      </c>
      <c r="D71" s="27" t="s">
        <v>23</v>
      </c>
      <c r="E71" s="28" t="str">
        <f>HYPERLINK("https://www.compass.com/building/150-19-113th-ave-queens-ny-11433/293534624884284581/","150-19 113th Ave")</f>
        <v>150-19 113th Ave</v>
      </c>
      <c r="F71" s="26" t="s">
        <v>24</v>
      </c>
      <c r="G71" s="29">
        <v>289000.0</v>
      </c>
      <c r="H71" s="29">
        <v>314.0</v>
      </c>
      <c r="I71" s="29">
        <v>157.0</v>
      </c>
      <c r="J71" s="29">
        <v>1885.0</v>
      </c>
      <c r="K71" s="26" t="s">
        <v>25</v>
      </c>
      <c r="L71" s="27">
        <v>8.0</v>
      </c>
      <c r="M71" s="27">
        <v>3.0</v>
      </c>
      <c r="N71" s="27">
        <v>1.0</v>
      </c>
      <c r="O71" s="30"/>
      <c r="P71" s="27">
        <v>920.0</v>
      </c>
      <c r="Q71" s="32">
        <v>453.0</v>
      </c>
      <c r="R71" s="33">
        <v>45597.0</v>
      </c>
      <c r="S71" s="33">
        <v>41690.0</v>
      </c>
      <c r="T71" s="29">
        <v>289000.0</v>
      </c>
      <c r="U71" s="33">
        <v>42317.0</v>
      </c>
      <c r="V71" s="1"/>
    </row>
    <row r="72" ht="24.0" customHeight="1">
      <c r="A72" s="1"/>
      <c r="B72" s="25" t="str">
        <f>HYPERLINK("https://www.compass.com/listing/104-41-165th-street-queens-ny-11433/29130994254738561/view?agent_id=610d3f3370540700019b0833","104-41 165th St")</f>
        <v>104-41 165th St</v>
      </c>
      <c r="C72" s="26" t="s">
        <v>35</v>
      </c>
      <c r="D72" s="27" t="s">
        <v>23</v>
      </c>
      <c r="E72" s="28" t="str">
        <f>HYPERLINK("https://www.compass.com/building/104-41-165th-st-queens-ny-11433/293534036373128357/","104-41 165th St")</f>
        <v>104-41 165th St</v>
      </c>
      <c r="F72" s="26" t="s">
        <v>24</v>
      </c>
      <c r="G72" s="29">
        <v>331000.0</v>
      </c>
      <c r="H72" s="29">
        <v>287.0</v>
      </c>
      <c r="I72" s="29">
        <v>196.0</v>
      </c>
      <c r="J72" s="29">
        <v>2346.0</v>
      </c>
      <c r="K72" s="26" t="s">
        <v>25</v>
      </c>
      <c r="L72" s="27">
        <v>6.0</v>
      </c>
      <c r="M72" s="27">
        <v>3.0</v>
      </c>
      <c r="N72" s="27">
        <v>1.0</v>
      </c>
      <c r="O72" s="27">
        <v>0.0</v>
      </c>
      <c r="P72" s="31">
        <v>1152.0</v>
      </c>
      <c r="Q72" s="32">
        <v>35.0</v>
      </c>
      <c r="R72" s="33">
        <v>45617.0</v>
      </c>
      <c r="S72" s="33">
        <v>42590.0</v>
      </c>
      <c r="T72" s="29">
        <v>331000.0</v>
      </c>
      <c r="U72" s="33">
        <v>42625.0</v>
      </c>
      <c r="V72" s="1"/>
    </row>
    <row r="73" ht="24.0" customHeight="1">
      <c r="A73" s="1"/>
      <c r="B73" s="25" t="str">
        <f>HYPERLINK("https://www.compass.com/listing/150-25-113th-avenue-queens-ny-11433/29141241660832529/view?agent_id=610d3f3370540700019b0833","150-25 113th Ave")</f>
        <v>150-25 113th Ave</v>
      </c>
      <c r="C73" s="26" t="s">
        <v>35</v>
      </c>
      <c r="D73" s="27" t="s">
        <v>23</v>
      </c>
      <c r="E73" s="28" t="str">
        <f>HYPERLINK("https://www.compass.com/building/150-25-113th-ave-queens-ny-11433/293532953294731525/","150-25 113th Ave")</f>
        <v>150-25 113th Ave</v>
      </c>
      <c r="F73" s="26" t="s">
        <v>24</v>
      </c>
      <c r="G73" s="29">
        <v>315000.0</v>
      </c>
      <c r="H73" s="29">
        <v>342.0</v>
      </c>
      <c r="I73" s="29">
        <v>341.0</v>
      </c>
      <c r="J73" s="29">
        <v>4092.0</v>
      </c>
      <c r="K73" s="26" t="s">
        <v>40</v>
      </c>
      <c r="L73" s="30"/>
      <c r="M73" s="27">
        <v>3.0</v>
      </c>
      <c r="N73" s="27">
        <v>1.0</v>
      </c>
      <c r="O73" s="30"/>
      <c r="P73" s="27">
        <v>920.0</v>
      </c>
      <c r="Q73" s="48"/>
      <c r="R73" s="35"/>
      <c r="S73" s="35"/>
      <c r="T73" s="29">
        <v>315000.0</v>
      </c>
      <c r="U73" s="33">
        <v>38574.0</v>
      </c>
      <c r="V73" s="1"/>
    </row>
    <row r="74" ht="24.0" customHeight="1">
      <c r="A74" s="1"/>
      <c r="B74" s="25" t="str">
        <f>HYPERLINK("https://www.compass.com/listing/107-53-watson-place-queens-ny-11433/29131693168266033/view?agent_id=610d3f3370540700019b0833","107-53 Watson Pl")</f>
        <v>107-53 Watson Pl</v>
      </c>
      <c r="C74" s="26" t="s">
        <v>35</v>
      </c>
      <c r="D74" s="27" t="s">
        <v>23</v>
      </c>
      <c r="E74" s="28" t="str">
        <f>HYPERLINK("https://www.compass.com/building/107-53-watson-pl-queens-ny-11433/293529171131424949/","107-53 Watson Pl")</f>
        <v>107-53 Watson Pl</v>
      </c>
      <c r="F74" s="26" t="s">
        <v>24</v>
      </c>
      <c r="G74" s="29">
        <v>415000.0</v>
      </c>
      <c r="H74" s="29">
        <v>324.0</v>
      </c>
      <c r="I74" s="29">
        <v>0.0</v>
      </c>
      <c r="J74" s="29">
        <v>0.0</v>
      </c>
      <c r="K74" s="26" t="s">
        <v>25</v>
      </c>
      <c r="L74" s="27">
        <v>5.0</v>
      </c>
      <c r="M74" s="27">
        <v>3.0</v>
      </c>
      <c r="N74" s="27">
        <v>1.0</v>
      </c>
      <c r="O74" s="27">
        <v>0.0</v>
      </c>
      <c r="P74" s="31">
        <v>1280.0</v>
      </c>
      <c r="Q74" s="32">
        <v>354.0</v>
      </c>
      <c r="R74" s="33">
        <v>45625.0</v>
      </c>
      <c r="S74" s="33">
        <v>42366.0</v>
      </c>
      <c r="T74" s="29">
        <v>415000.0</v>
      </c>
      <c r="U74" s="33">
        <v>42720.0</v>
      </c>
      <c r="V74" s="1"/>
    </row>
    <row r="75" ht="24.0" customHeight="1">
      <c r="A75" s="1"/>
      <c r="B75" s="25" t="str">
        <f>HYPERLINK("https://www.compass.com/listing/167-11-linden-boulevard-queens-ny-11433/1730714231298109137/view?agent_id=610d3f3370540700019b0833","167-11 Linden Blvd")</f>
        <v>167-11 Linden Blvd</v>
      </c>
      <c r="C75" s="26" t="s">
        <v>35</v>
      </c>
      <c r="D75" s="27" t="s">
        <v>23</v>
      </c>
      <c r="E75" s="28" t="str">
        <f>HYPERLINK("https://www.compass.com/building/167-11-linden-blvd-queens-ny-11433/293530088778035733/","167-11 Linden Blvd")</f>
        <v>167-11 Linden Blvd</v>
      </c>
      <c r="F75" s="26" t="s">
        <v>24</v>
      </c>
      <c r="G75" s="29">
        <v>275000.0</v>
      </c>
      <c r="H75" s="34"/>
      <c r="I75" s="29">
        <v>183.0</v>
      </c>
      <c r="J75" s="29">
        <v>2200.0</v>
      </c>
      <c r="K75" s="26" t="s">
        <v>32</v>
      </c>
      <c r="L75" s="27">
        <v>8.0</v>
      </c>
      <c r="M75" s="27">
        <v>3.0</v>
      </c>
      <c r="N75" s="27">
        <v>1.0</v>
      </c>
      <c r="O75" s="30"/>
      <c r="P75" s="30"/>
      <c r="Q75" s="32">
        <v>221.0</v>
      </c>
      <c r="R75" s="33">
        <v>45617.0</v>
      </c>
      <c r="S75" s="33">
        <v>41433.0</v>
      </c>
      <c r="T75" s="29">
        <v>275000.0</v>
      </c>
      <c r="U75" s="33">
        <v>41688.0</v>
      </c>
      <c r="V75" s="1"/>
    </row>
    <row r="76" ht="24.0" customHeight="1">
      <c r="A76" s="1"/>
      <c r="B76" s="25" t="str">
        <f>HYPERLINK("https://www.compass.com/listing/153-32-112th-avenue-queens-ny-11433/29141235453262289/view?agent_id=610d3f3370540700019b0833","153-32 112th Ave")</f>
        <v>153-32 112th Ave</v>
      </c>
      <c r="C76" s="26" t="s">
        <v>35</v>
      </c>
      <c r="D76" s="27" t="s">
        <v>23</v>
      </c>
      <c r="E76" s="28" t="str">
        <f>HYPERLINK("https://www.compass.com/building/153-32-112th-ave-queens-ny-11433/293534190824112405/","153-32 112th Ave")</f>
        <v>153-32 112th Ave</v>
      </c>
      <c r="F76" s="26" t="s">
        <v>24</v>
      </c>
      <c r="G76" s="29">
        <v>275000.0</v>
      </c>
      <c r="H76" s="29">
        <v>111.0</v>
      </c>
      <c r="I76" s="29">
        <v>237.0</v>
      </c>
      <c r="J76" s="29">
        <v>2841.0</v>
      </c>
      <c r="K76" s="26" t="s">
        <v>32</v>
      </c>
      <c r="L76" s="27">
        <v>7.0</v>
      </c>
      <c r="M76" s="27">
        <v>3.0</v>
      </c>
      <c r="N76" s="27">
        <v>1.0</v>
      </c>
      <c r="O76" s="27">
        <v>0.0</v>
      </c>
      <c r="P76" s="31">
        <v>2478.0</v>
      </c>
      <c r="Q76" s="32">
        <v>58.0</v>
      </c>
      <c r="R76" s="33">
        <v>45624.0</v>
      </c>
      <c r="S76" s="33">
        <v>42219.0</v>
      </c>
      <c r="T76" s="29">
        <v>275000.0</v>
      </c>
      <c r="U76" s="33">
        <v>42382.0</v>
      </c>
      <c r="V76" s="1"/>
    </row>
    <row r="77" ht="24.0" customHeight="1">
      <c r="A77" s="1"/>
      <c r="B77" s="25" t="str">
        <f>HYPERLINK("https://www.compass.com/listing/103-24-168th-place-queens-ny-11433/1861850899414479025/view?agent_id=610d3f3370540700019b0833","103-24 168th Pl")</f>
        <v>103-24 168th Pl</v>
      </c>
      <c r="C77" s="26" t="s">
        <v>35</v>
      </c>
      <c r="D77" s="27" t="s">
        <v>23</v>
      </c>
      <c r="E77" s="28" t="str">
        <f>HYPERLINK("https://www.compass.com/building/103-24-168th-pl-queens-ny-11433/293531915581950325/","103-24 168th Pl")</f>
        <v>103-24 168th Pl</v>
      </c>
      <c r="F77" s="26" t="s">
        <v>24</v>
      </c>
      <c r="G77" s="29">
        <v>300000.0</v>
      </c>
      <c r="H77" s="34"/>
      <c r="I77" s="29">
        <v>200.0</v>
      </c>
      <c r="J77" s="29">
        <v>2400.0</v>
      </c>
      <c r="K77" s="26" t="s">
        <v>32</v>
      </c>
      <c r="L77" s="27">
        <v>0.0</v>
      </c>
      <c r="M77" s="27">
        <v>3.0</v>
      </c>
      <c r="N77" s="30"/>
      <c r="O77" s="30"/>
      <c r="P77" s="30"/>
      <c r="Q77" s="32">
        <v>4.0</v>
      </c>
      <c r="R77" s="33">
        <v>43290.0</v>
      </c>
      <c r="S77" s="33">
        <v>42947.0</v>
      </c>
      <c r="T77" s="29">
        <v>300000.0</v>
      </c>
      <c r="U77" s="33">
        <v>43059.0</v>
      </c>
      <c r="V77" s="1"/>
    </row>
    <row r="78" ht="24.0" customHeight="1">
      <c r="A78" s="1"/>
      <c r="B78" s="25" t="str">
        <f>HYPERLINK("https://www.compass.com/listing/104-49-165th-street-queens-ny-11433/101329804703310321/view?agent_id=610d3f3370540700019b0833","104-49 165th St")</f>
        <v>104-49 165th St</v>
      </c>
      <c r="C78" s="26" t="s">
        <v>35</v>
      </c>
      <c r="D78" s="27" t="s">
        <v>23</v>
      </c>
      <c r="E78" s="28" t="str">
        <f>HYPERLINK("https://www.compass.com/building/104-49-165th-st-queens-ny-11433/293528357134507093/","104-49 165th St")</f>
        <v>104-49 165th St</v>
      </c>
      <c r="F78" s="26" t="s">
        <v>24</v>
      </c>
      <c r="G78" s="29">
        <v>317642.0</v>
      </c>
      <c r="H78" s="29">
        <v>276.0</v>
      </c>
      <c r="I78" s="29">
        <v>200.0</v>
      </c>
      <c r="J78" s="29">
        <v>2397.0</v>
      </c>
      <c r="K78" s="26" t="s">
        <v>32</v>
      </c>
      <c r="L78" s="27">
        <v>5.0</v>
      </c>
      <c r="M78" s="27">
        <v>3.0</v>
      </c>
      <c r="N78" s="27">
        <v>1.0</v>
      </c>
      <c r="O78" s="30"/>
      <c r="P78" s="31">
        <v>1152.0</v>
      </c>
      <c r="Q78" s="32">
        <v>52.0</v>
      </c>
      <c r="R78" s="33">
        <v>45626.0</v>
      </c>
      <c r="S78" s="33">
        <v>42986.0</v>
      </c>
      <c r="T78" s="29">
        <v>317642.0</v>
      </c>
      <c r="U78" s="33">
        <v>43033.0</v>
      </c>
      <c r="V78" s="1"/>
    </row>
    <row r="79" ht="24.0" customHeight="1">
      <c r="A79" s="1"/>
      <c r="B79" s="25" t="str">
        <f>HYPERLINK("https://www.compass.com/listing/150-25-113th-avenue-queens-ny-11433/372966426708483249/view?agent_id=610d3f3370540700019b0833","150-25 113th Ave")</f>
        <v>150-25 113th Ave</v>
      </c>
      <c r="C79" s="26" t="s">
        <v>35</v>
      </c>
      <c r="D79" s="27" t="s">
        <v>23</v>
      </c>
      <c r="E79" s="28" t="str">
        <f>HYPERLINK("https://www.compass.com/building/150-25-113th-ave-queens-ny-11433/293532953294731525/","150-25 113th Ave")</f>
        <v>150-25 113th Ave</v>
      </c>
      <c r="F79" s="26" t="s">
        <v>24</v>
      </c>
      <c r="G79" s="29">
        <v>289800.0</v>
      </c>
      <c r="H79" s="34"/>
      <c r="I79" s="29">
        <v>341.0</v>
      </c>
      <c r="J79" s="29">
        <v>4092.0</v>
      </c>
      <c r="K79" s="26" t="s">
        <v>32</v>
      </c>
      <c r="L79" s="27">
        <v>7.0</v>
      </c>
      <c r="M79" s="27">
        <v>3.0</v>
      </c>
      <c r="N79" s="27">
        <v>1.0</v>
      </c>
      <c r="O79" s="30"/>
      <c r="P79" s="30"/>
      <c r="Q79" s="32">
        <v>148.0</v>
      </c>
      <c r="R79" s="33">
        <v>45617.0</v>
      </c>
      <c r="S79" s="33">
        <v>43765.0</v>
      </c>
      <c r="T79" s="29">
        <v>289800.0</v>
      </c>
      <c r="U79" s="33">
        <v>44131.0</v>
      </c>
      <c r="V79" s="1"/>
    </row>
    <row r="80" ht="24.0" customHeight="1">
      <c r="A80" s="1"/>
      <c r="B80" s="25" t="str">
        <f>HYPERLINK("https://www.compass.com/listing/110-26-172nd-street-queens-ny-11433/1730512516540320273/view?agent_id=610d3f3370540700019b0833","110-26 172nd St")</f>
        <v>110-26 172nd St</v>
      </c>
      <c r="C80" s="26" t="s">
        <v>35</v>
      </c>
      <c r="D80" s="27" t="s">
        <v>23</v>
      </c>
      <c r="E80" s="28" t="str">
        <f>HYPERLINK("https://www.compass.com/building/110-26-172nd-st-queens-ny-11433/293526895394328421/","110-26 172nd St")</f>
        <v>110-26 172nd St</v>
      </c>
      <c r="F80" s="26" t="s">
        <v>24</v>
      </c>
      <c r="G80" s="29">
        <v>235000.0</v>
      </c>
      <c r="H80" s="34"/>
      <c r="I80" s="29">
        <v>210.0</v>
      </c>
      <c r="J80" s="29">
        <v>2517.0</v>
      </c>
      <c r="K80" s="26" t="s">
        <v>41</v>
      </c>
      <c r="L80" s="27">
        <v>1.0</v>
      </c>
      <c r="M80" s="27">
        <v>3.0</v>
      </c>
      <c r="N80" s="27">
        <v>1.0</v>
      </c>
      <c r="O80" s="30"/>
      <c r="P80" s="30"/>
      <c r="Q80" s="32">
        <v>36.0</v>
      </c>
      <c r="R80" s="33">
        <v>45617.0</v>
      </c>
      <c r="S80" s="33">
        <v>40948.0</v>
      </c>
      <c r="T80" s="29">
        <v>235000.0</v>
      </c>
      <c r="U80" s="33">
        <v>41089.0</v>
      </c>
      <c r="V80" s="1"/>
    </row>
    <row r="81" ht="24.0" customHeight="1">
      <c r="A81" s="1"/>
      <c r="B81" s="25" t="str">
        <f>HYPERLINK("https://www.compass.com/listing/110-01-175th-street-queens-ny-11433/29131865629665937/view?agent_id=610d3f3370540700019b0833","110-01 175th St")</f>
        <v>110-01 175th St</v>
      </c>
      <c r="C81" s="26" t="s">
        <v>35</v>
      </c>
      <c r="D81" s="27" t="s">
        <v>23</v>
      </c>
      <c r="E81" s="28" t="str">
        <f>HYPERLINK("https://www.compass.com/building/110-01-175th-st-queens-ny-11433/293531475448545909/","110-01 175th St")</f>
        <v>110-01 175th St</v>
      </c>
      <c r="F81" s="26" t="s">
        <v>24</v>
      </c>
      <c r="G81" s="29">
        <v>250000.0</v>
      </c>
      <c r="H81" s="34"/>
      <c r="I81" s="29">
        <v>358.0</v>
      </c>
      <c r="J81" s="29">
        <v>4298.0</v>
      </c>
      <c r="K81" s="26" t="s">
        <v>32</v>
      </c>
      <c r="L81" s="27">
        <v>6.0</v>
      </c>
      <c r="M81" s="27">
        <v>3.0</v>
      </c>
      <c r="N81" s="27">
        <v>1.0</v>
      </c>
      <c r="O81" s="30"/>
      <c r="P81" s="30"/>
      <c r="Q81" s="32">
        <v>2.0</v>
      </c>
      <c r="R81" s="33">
        <v>45617.0</v>
      </c>
      <c r="S81" s="33">
        <v>42912.0</v>
      </c>
      <c r="T81" s="29">
        <v>250000.0</v>
      </c>
      <c r="U81" s="33">
        <v>43034.0</v>
      </c>
      <c r="V81" s="1"/>
    </row>
    <row r="82" ht="24.0" customHeight="1">
      <c r="A82" s="1"/>
      <c r="B82" s="25" t="str">
        <f>HYPERLINK("https://www.compass.com/listing/107-37-156th-street-queens-ny-11433/1764902720675383417/view?agent_id=610d3f3370540700019b0833","107-37 156th St")</f>
        <v>107-37 156th St</v>
      </c>
      <c r="C82" s="26" t="s">
        <v>35</v>
      </c>
      <c r="D82" s="27" t="s">
        <v>23</v>
      </c>
      <c r="E82" s="28" t="str">
        <f t="shared" ref="E82:E83" si="6">HYPERLINK("https://www.compass.com/building/107-37-156th-st-queens-ny-11433/293529556009188693/","107-37 156th St")</f>
        <v>107-37 156th St</v>
      </c>
      <c r="F82" s="26" t="s">
        <v>24</v>
      </c>
      <c r="G82" s="29">
        <v>415740.0</v>
      </c>
      <c r="H82" s="29">
        <v>547.0</v>
      </c>
      <c r="I82" s="29">
        <v>170.0</v>
      </c>
      <c r="J82" s="29">
        <v>2038.0</v>
      </c>
      <c r="K82" s="26" t="s">
        <v>32</v>
      </c>
      <c r="L82" s="27">
        <v>5.0</v>
      </c>
      <c r="M82" s="27">
        <v>3.0</v>
      </c>
      <c r="N82" s="27">
        <v>1.0</v>
      </c>
      <c r="O82" s="30"/>
      <c r="P82" s="27">
        <v>760.0</v>
      </c>
      <c r="Q82" s="32">
        <v>0.0</v>
      </c>
      <c r="R82" s="33">
        <v>45133.0</v>
      </c>
      <c r="S82" s="33">
        <v>45130.0</v>
      </c>
      <c r="T82" s="29">
        <v>415740.0</v>
      </c>
      <c r="U82" s="33">
        <v>45162.0</v>
      </c>
      <c r="V82" s="1"/>
    </row>
    <row r="83" ht="24.0" customHeight="1">
      <c r="A83" s="1"/>
      <c r="B83" s="25" t="str">
        <f>HYPERLINK("https://www.compass.com/listing/107-37-156th-street-queens-ny-11433/1378660614528969865/view?agent_id=610d3f3370540700019b0833","107-37 156th St")</f>
        <v>107-37 156th St</v>
      </c>
      <c r="C83" s="26" t="s">
        <v>35</v>
      </c>
      <c r="D83" s="27" t="s">
        <v>23</v>
      </c>
      <c r="E83" s="28" t="str">
        <f t="shared" si="6"/>
        <v>107-37 156th St</v>
      </c>
      <c r="F83" s="26" t="s">
        <v>24</v>
      </c>
      <c r="G83" s="29">
        <v>415740.0</v>
      </c>
      <c r="H83" s="29">
        <v>277.0</v>
      </c>
      <c r="I83" s="29">
        <v>170.0</v>
      </c>
      <c r="J83" s="29">
        <v>2038.0</v>
      </c>
      <c r="K83" s="26" t="s">
        <v>32</v>
      </c>
      <c r="L83" s="27">
        <v>5.0</v>
      </c>
      <c r="M83" s="27">
        <v>3.0</v>
      </c>
      <c r="N83" s="27">
        <v>1.0</v>
      </c>
      <c r="O83" s="30"/>
      <c r="P83" s="31">
        <v>1500.0</v>
      </c>
      <c r="Q83" s="32">
        <v>24.0</v>
      </c>
      <c r="R83" s="33">
        <v>45154.0</v>
      </c>
      <c r="S83" s="33">
        <v>45127.0</v>
      </c>
      <c r="T83" s="29">
        <v>415740.0</v>
      </c>
      <c r="U83" s="33">
        <v>45162.0</v>
      </c>
      <c r="V83" s="1"/>
    </row>
    <row r="84" ht="24.0" customHeight="1">
      <c r="A84" s="1"/>
      <c r="B84" s="25" t="str">
        <f>HYPERLINK("https://www.compass.com/listing/168-10-brinkerhoff-avenue-queens-ny-11433/1556965030837755377/view?agent_id=610d3f3370540700019b0833","168-10 Brinkerhoff Ave")</f>
        <v>168-10 Brinkerhoff Ave</v>
      </c>
      <c r="C84" s="26" t="s">
        <v>35</v>
      </c>
      <c r="D84" s="27" t="s">
        <v>23</v>
      </c>
      <c r="E84" s="28" t="str">
        <f>HYPERLINK("https://www.compass.com/building/168-10-brinkerhoff-ave-queens-ny-11433/293535302071467173/","168-10 Brinkerhoff Ave")</f>
        <v>168-10 Brinkerhoff Ave</v>
      </c>
      <c r="F84" s="26" t="s">
        <v>24</v>
      </c>
      <c r="G84" s="29">
        <v>142500.0</v>
      </c>
      <c r="H84" s="34"/>
      <c r="I84" s="29">
        <v>170.0</v>
      </c>
      <c r="J84" s="29">
        <v>2043.0</v>
      </c>
      <c r="K84" s="26" t="s">
        <v>32</v>
      </c>
      <c r="L84" s="27">
        <v>5.0</v>
      </c>
      <c r="M84" s="27">
        <v>3.0</v>
      </c>
      <c r="N84" s="27">
        <v>1.0</v>
      </c>
      <c r="O84" s="30"/>
      <c r="P84" s="30"/>
      <c r="Q84" s="32">
        <v>659.0</v>
      </c>
      <c r="R84" s="33">
        <v>45597.0</v>
      </c>
      <c r="S84" s="33">
        <v>41478.0</v>
      </c>
      <c r="T84" s="29">
        <v>142500.0</v>
      </c>
      <c r="U84" s="33">
        <v>42151.0</v>
      </c>
      <c r="V84" s="1"/>
    </row>
    <row r="85" ht="24.0" customHeight="1">
      <c r="A85" s="1"/>
      <c r="B85" s="25" t="str">
        <f>HYPERLINK("https://www.compass.com/listing/167-15-brinkerhoff-avenue-queens-ny-11433/29131182025325521/view?agent_id=610d3f3370540700019b0833","167-15 Brinkerhoff Ave")</f>
        <v>167-15 Brinkerhoff Ave</v>
      </c>
      <c r="C85" s="26" t="s">
        <v>35</v>
      </c>
      <c r="D85" s="27" t="s">
        <v>23</v>
      </c>
      <c r="E85" s="28" t="str">
        <f>HYPERLINK("https://www.compass.com/building/167-15-brinkerhoff-ave-queens-ny-11433/293535320895506821/","167-15 Brinkerhoff Ave")</f>
        <v>167-15 Brinkerhoff Ave</v>
      </c>
      <c r="F85" s="26" t="s">
        <v>24</v>
      </c>
      <c r="G85" s="29">
        <v>110000.0</v>
      </c>
      <c r="H85" s="34"/>
      <c r="I85" s="29">
        <v>229.0</v>
      </c>
      <c r="J85" s="29">
        <v>2751.0</v>
      </c>
      <c r="K85" s="26" t="s">
        <v>32</v>
      </c>
      <c r="L85" s="27">
        <v>6.0</v>
      </c>
      <c r="M85" s="27">
        <v>3.0</v>
      </c>
      <c r="N85" s="27">
        <v>1.0</v>
      </c>
      <c r="O85" s="30"/>
      <c r="P85" s="30"/>
      <c r="Q85" s="32">
        <v>203.0</v>
      </c>
      <c r="R85" s="33">
        <v>45616.0</v>
      </c>
      <c r="S85" s="33">
        <v>42208.0</v>
      </c>
      <c r="T85" s="29">
        <v>110000.0</v>
      </c>
      <c r="U85" s="33">
        <v>42453.0</v>
      </c>
      <c r="V85" s="1"/>
    </row>
    <row r="86" ht="24.0" customHeight="1">
      <c r="A86" s="1"/>
      <c r="B86" s="25" t="str">
        <f>HYPERLINK("https://www.compass.com/listing/150-21-113th-avenue-queens-ny-11433/1556965432928680857/view?agent_id=610d3f3370540700019b0833","150-21 113th Ave")</f>
        <v>150-21 113th Ave</v>
      </c>
      <c r="C86" s="26" t="s">
        <v>35</v>
      </c>
      <c r="D86" s="27" t="s">
        <v>23</v>
      </c>
      <c r="E86" s="28" t="str">
        <f>HYPERLINK("https://www.compass.com/building/150-21-113th-ave-queens-ny-11433/293530183988775637/","150-21 113th Ave")</f>
        <v>150-21 113th Ave</v>
      </c>
      <c r="F86" s="26" t="s">
        <v>24</v>
      </c>
      <c r="G86" s="29">
        <v>250000.0</v>
      </c>
      <c r="H86" s="34"/>
      <c r="I86" s="29">
        <v>157.0</v>
      </c>
      <c r="J86" s="29">
        <v>1885.0</v>
      </c>
      <c r="K86" s="26" t="s">
        <v>36</v>
      </c>
      <c r="L86" s="27">
        <v>8.0</v>
      </c>
      <c r="M86" s="27">
        <v>3.0</v>
      </c>
      <c r="N86" s="27">
        <v>1.0</v>
      </c>
      <c r="O86" s="30"/>
      <c r="P86" s="30"/>
      <c r="Q86" s="32">
        <v>200.0</v>
      </c>
      <c r="R86" s="33">
        <v>45597.0</v>
      </c>
      <c r="S86" s="33">
        <v>41690.0</v>
      </c>
      <c r="T86" s="29">
        <v>250000.0</v>
      </c>
      <c r="U86" s="33">
        <v>42034.0</v>
      </c>
      <c r="V86" s="1"/>
    </row>
    <row r="87" ht="24.0" customHeight="1">
      <c r="A87" s="1"/>
      <c r="B87" s="25" t="str">
        <f>HYPERLINK("https://www.compass.com/listing/168-05-110th-road-queens-ny-11433/1730504369657661345/view?agent_id=610d3f3370540700019b0833","168-05 110th Rd")</f>
        <v>168-05 110th Rd</v>
      </c>
      <c r="C87" s="26" t="s">
        <v>35</v>
      </c>
      <c r="D87" s="27" t="s">
        <v>23</v>
      </c>
      <c r="E87" s="28" t="str">
        <f>HYPERLINK("https://www.compass.com/building/168-05-110th-rd-queens-ny-11433/293531532507748533/","168-05 110th Rd")</f>
        <v>168-05 110th Rd</v>
      </c>
      <c r="F87" s="26" t="s">
        <v>24</v>
      </c>
      <c r="G87" s="29">
        <v>230178.0</v>
      </c>
      <c r="H87" s="29">
        <v>184.0</v>
      </c>
      <c r="I87" s="29">
        <v>169.0</v>
      </c>
      <c r="J87" s="29">
        <v>2033.0</v>
      </c>
      <c r="K87" s="26" t="s">
        <v>32</v>
      </c>
      <c r="L87" s="27">
        <v>6.0</v>
      </c>
      <c r="M87" s="27">
        <v>3.0</v>
      </c>
      <c r="N87" s="27">
        <v>1.0</v>
      </c>
      <c r="O87" s="30"/>
      <c r="P87" s="31">
        <v>1248.0</v>
      </c>
      <c r="Q87" s="32">
        <v>51.0</v>
      </c>
      <c r="R87" s="33">
        <v>45617.0</v>
      </c>
      <c r="S87" s="33">
        <v>41283.0</v>
      </c>
      <c r="T87" s="29">
        <v>230178.0</v>
      </c>
      <c r="U87" s="33">
        <v>41348.0</v>
      </c>
      <c r="V87" s="1"/>
    </row>
    <row r="88" ht="24.0" customHeight="1">
      <c r="A88" s="1"/>
      <c r="B88" s="25" t="str">
        <f>HYPERLINK("https://www.compass.com/listing/164-51-nadal-place-queens-ny-11433/1764972630205879681/view?agent_id=610d3f3370540700019b0833","164-51 Nadal Pl")</f>
        <v>164-51 Nadal Pl</v>
      </c>
      <c r="C88" s="26" t="s">
        <v>35</v>
      </c>
      <c r="D88" s="27" t="s">
        <v>23</v>
      </c>
      <c r="E88" s="28" t="str">
        <f>HYPERLINK("https://www.compass.com/building/164-51-nadal-pl-queens-ny-11433/293528744184780741/","164-51 Nadal Pl")</f>
        <v>164-51 Nadal Pl</v>
      </c>
      <c r="F88" s="26" t="s">
        <v>24</v>
      </c>
      <c r="G88" s="29">
        <v>279000.0</v>
      </c>
      <c r="H88" s="29">
        <v>310.0</v>
      </c>
      <c r="I88" s="29">
        <v>167.0</v>
      </c>
      <c r="J88" s="29">
        <v>2000.0</v>
      </c>
      <c r="K88" s="26" t="s">
        <v>32</v>
      </c>
      <c r="L88" s="27">
        <v>6.0</v>
      </c>
      <c r="M88" s="27">
        <v>3.0</v>
      </c>
      <c r="N88" s="27">
        <v>1.0</v>
      </c>
      <c r="O88" s="30"/>
      <c r="P88" s="27">
        <v>900.0</v>
      </c>
      <c r="Q88" s="32">
        <v>5.0</v>
      </c>
      <c r="R88" s="33">
        <v>45617.0</v>
      </c>
      <c r="S88" s="33">
        <v>43567.0</v>
      </c>
      <c r="T88" s="29">
        <v>279000.0</v>
      </c>
      <c r="U88" s="33">
        <v>43606.0</v>
      </c>
      <c r="V88" s="1"/>
    </row>
    <row r="89" ht="24.0" customHeight="1">
      <c r="A89" s="1"/>
      <c r="B89" s="25" t="str">
        <f>HYPERLINK("https://www.compass.com/listing/111-24-157th-street-queens-ny-11433/29141271356385457/view?agent_id=610d3f3370540700019b0833","111-24 157th St")</f>
        <v>111-24 157th St</v>
      </c>
      <c r="C89" s="26" t="s">
        <v>35</v>
      </c>
      <c r="D89" s="27" t="s">
        <v>23</v>
      </c>
      <c r="E89" s="28" t="str">
        <f>HYPERLINK("https://www.compass.com/building/111-24-157th-st-queens-ny-11433/293526810736590357/","111-24 157th St")</f>
        <v>111-24 157th St</v>
      </c>
      <c r="F89" s="26" t="s">
        <v>24</v>
      </c>
      <c r="G89" s="29">
        <v>262000.0</v>
      </c>
      <c r="H89" s="34"/>
      <c r="I89" s="29">
        <v>242.0</v>
      </c>
      <c r="J89" s="29">
        <v>2900.0</v>
      </c>
      <c r="K89" s="26" t="s">
        <v>32</v>
      </c>
      <c r="L89" s="27">
        <v>8.0</v>
      </c>
      <c r="M89" s="27">
        <v>3.0</v>
      </c>
      <c r="N89" s="27">
        <v>1.0</v>
      </c>
      <c r="O89" s="30"/>
      <c r="P89" s="30"/>
      <c r="Q89" s="32">
        <v>95.0</v>
      </c>
      <c r="R89" s="33">
        <v>45617.0</v>
      </c>
      <c r="S89" s="33">
        <v>42323.0</v>
      </c>
      <c r="T89" s="29">
        <v>262000.0</v>
      </c>
      <c r="U89" s="33">
        <v>42445.0</v>
      </c>
      <c r="V89" s="1"/>
    </row>
    <row r="90" ht="24.0" customHeight="1">
      <c r="A90" s="1"/>
      <c r="B90" s="25" t="str">
        <f>HYPERLINK("https://www.compass.com/listing/157-08-111th-avenue-queens-ny-11433/29141330353487553/view?agent_id=610d3f3370540700019b0833","157-08 111th Ave")</f>
        <v>157-08 111th Ave</v>
      </c>
      <c r="C90" s="26" t="s">
        <v>35</v>
      </c>
      <c r="D90" s="27" t="s">
        <v>23</v>
      </c>
      <c r="E90" s="28" t="str">
        <f>HYPERLINK("https://www.compass.com/building/157-08-111th-ave-queens-ny-11433/293530450016681413/","157-08 111th Ave")</f>
        <v>157-08 111th Ave</v>
      </c>
      <c r="F90" s="26" t="s">
        <v>24</v>
      </c>
      <c r="G90" s="29">
        <v>310000.0</v>
      </c>
      <c r="H90" s="34"/>
      <c r="I90" s="29">
        <v>35.0</v>
      </c>
      <c r="J90" s="29">
        <v>420.0</v>
      </c>
      <c r="K90" s="26" t="s">
        <v>32</v>
      </c>
      <c r="L90" s="27">
        <v>6.0</v>
      </c>
      <c r="M90" s="27">
        <v>3.0</v>
      </c>
      <c r="N90" s="27">
        <v>1.0</v>
      </c>
      <c r="O90" s="30"/>
      <c r="P90" s="30"/>
      <c r="Q90" s="32">
        <v>44.0</v>
      </c>
      <c r="R90" s="33">
        <v>45597.0</v>
      </c>
      <c r="S90" s="33">
        <v>42859.0</v>
      </c>
      <c r="T90" s="29">
        <v>310000.0</v>
      </c>
      <c r="U90" s="33">
        <v>42942.0</v>
      </c>
      <c r="V90" s="1"/>
    </row>
    <row r="91" ht="24.0" customHeight="1">
      <c r="A91" s="1"/>
      <c r="B91" s="25" t="str">
        <f>HYPERLINK("https://www.compass.com/listing/109-29-157th-street-queens-ny-11433/55873354871085041/view?agent_id=610d3f3370540700019b0833","109-29 157th St")</f>
        <v>109-29 157th St</v>
      </c>
      <c r="C91" s="26" t="s">
        <v>35</v>
      </c>
      <c r="D91" s="27" t="s">
        <v>23</v>
      </c>
      <c r="E91" s="28" t="str">
        <f>HYPERLINK("https://www.compass.com/building/109-29-157th-st-queens-ny-11433/293535187826961013/","109-29 157th St")</f>
        <v>109-29 157th St</v>
      </c>
      <c r="F91" s="26" t="s">
        <v>24</v>
      </c>
      <c r="G91" s="29">
        <v>409000.0</v>
      </c>
      <c r="H91" s="34"/>
      <c r="I91" s="29">
        <v>222.0</v>
      </c>
      <c r="J91" s="29">
        <v>2668.0</v>
      </c>
      <c r="K91" s="26" t="s">
        <v>32</v>
      </c>
      <c r="L91" s="27">
        <v>7.0</v>
      </c>
      <c r="M91" s="27">
        <v>3.0</v>
      </c>
      <c r="N91" s="27">
        <v>1.0</v>
      </c>
      <c r="O91" s="30"/>
      <c r="P91" s="30"/>
      <c r="Q91" s="32">
        <v>50.0</v>
      </c>
      <c r="R91" s="33">
        <v>45626.0</v>
      </c>
      <c r="S91" s="33">
        <v>42961.0</v>
      </c>
      <c r="T91" s="29">
        <v>409000.0</v>
      </c>
      <c r="U91" s="33">
        <v>43319.0</v>
      </c>
      <c r="V91" s="1"/>
    </row>
    <row r="92" ht="24.0" customHeight="1">
      <c r="A92" s="1"/>
      <c r="B92" s="25" t="str">
        <f>HYPERLINK("https://www.compass.com/listing/111-34-157th-street-queens-ny-11433/210824707962868481/view?agent_id=610d3f3370540700019b0833","111-34 157th St")</f>
        <v>111-34 157th St</v>
      </c>
      <c r="C92" s="26" t="s">
        <v>35</v>
      </c>
      <c r="D92" s="27" t="s">
        <v>23</v>
      </c>
      <c r="E92" s="28" t="str">
        <f>HYPERLINK("https://www.compass.com/building/111-34-157th-st-queens-ny-11433/293528445692943973/","111-34 157th St")</f>
        <v>111-34 157th St</v>
      </c>
      <c r="F92" s="26" t="s">
        <v>24</v>
      </c>
      <c r="G92" s="29">
        <v>194688.0</v>
      </c>
      <c r="H92" s="29">
        <v>135.0</v>
      </c>
      <c r="I92" s="29">
        <v>139.0</v>
      </c>
      <c r="J92" s="29">
        <v>1662.0</v>
      </c>
      <c r="K92" s="26" t="s">
        <v>36</v>
      </c>
      <c r="L92" s="27">
        <v>6.0</v>
      </c>
      <c r="M92" s="27">
        <v>3.0</v>
      </c>
      <c r="N92" s="27">
        <v>1.0</v>
      </c>
      <c r="O92" s="30"/>
      <c r="P92" s="31">
        <v>1440.0</v>
      </c>
      <c r="Q92" s="32">
        <v>17.0</v>
      </c>
      <c r="R92" s="33">
        <v>40176.0</v>
      </c>
      <c r="S92" s="33">
        <v>40158.0</v>
      </c>
      <c r="T92" s="29">
        <v>194688.0</v>
      </c>
      <c r="U92" s="33">
        <v>40175.0</v>
      </c>
      <c r="V92" s="1"/>
    </row>
    <row r="93" ht="24.0" customHeight="1">
      <c r="A93" s="1"/>
      <c r="B93" s="25" t="str">
        <f>HYPERLINK("https://www.compass.com/listing/110-07-171st-place-queens-ny-11433/187599682275454737/view?agent_id=610d3f3370540700019b0833","110-07 171st Pl")</f>
        <v>110-07 171st Pl</v>
      </c>
      <c r="C93" s="26" t="s">
        <v>35</v>
      </c>
      <c r="D93" s="27" t="s">
        <v>23</v>
      </c>
      <c r="E93" s="28" t="str">
        <f>HYPERLINK("https://www.compass.com/building/110-07-171st-pl-queens-ny-11433/293532099879737077/","110-07 171st Pl")</f>
        <v>110-07 171st Pl</v>
      </c>
      <c r="F93" s="26" t="s">
        <v>24</v>
      </c>
      <c r="G93" s="29">
        <v>342000.0</v>
      </c>
      <c r="H93" s="34"/>
      <c r="I93" s="29">
        <v>321.0</v>
      </c>
      <c r="J93" s="29">
        <v>3850.0</v>
      </c>
      <c r="K93" s="26" t="s">
        <v>32</v>
      </c>
      <c r="L93" s="27">
        <v>7.0</v>
      </c>
      <c r="M93" s="27">
        <v>3.0</v>
      </c>
      <c r="N93" s="27">
        <v>1.0</v>
      </c>
      <c r="O93" s="30"/>
      <c r="P93" s="30"/>
      <c r="Q93" s="32">
        <v>11.0</v>
      </c>
      <c r="R93" s="33">
        <v>45617.0</v>
      </c>
      <c r="S93" s="33">
        <v>43353.0</v>
      </c>
      <c r="T93" s="29">
        <v>342000.0</v>
      </c>
      <c r="U93" s="33">
        <v>43489.0</v>
      </c>
      <c r="V93" s="1"/>
    </row>
    <row r="94" ht="24.0" customHeight="1">
      <c r="A94" s="1"/>
      <c r="B94" s="25" t="str">
        <f>HYPERLINK("https://www.compass.com/listing/111-53-168th-street-queens-ny-11433/919814170681818809/view?agent_id=610d3f3370540700019b0833","111-53 168th St")</f>
        <v>111-53 168th St</v>
      </c>
      <c r="C94" s="26" t="s">
        <v>35</v>
      </c>
      <c r="D94" s="27" t="s">
        <v>23</v>
      </c>
      <c r="E94" s="28" t="str">
        <f>HYPERLINK("https://www.compass.com/building/111-53-168th-st-queens-ny-11433/293528951484152117/","111-53 168th St")</f>
        <v>111-53 168th St</v>
      </c>
      <c r="F94" s="26" t="s">
        <v>24</v>
      </c>
      <c r="G94" s="29">
        <v>299000.0</v>
      </c>
      <c r="H94" s="29">
        <v>231.0</v>
      </c>
      <c r="I94" s="29">
        <v>0.0</v>
      </c>
      <c r="J94" s="34"/>
      <c r="K94" s="26" t="s">
        <v>32</v>
      </c>
      <c r="L94" s="27">
        <v>5.0</v>
      </c>
      <c r="M94" s="27">
        <v>3.0</v>
      </c>
      <c r="N94" s="27">
        <v>0.0</v>
      </c>
      <c r="O94" s="27">
        <v>0.0</v>
      </c>
      <c r="P94" s="31">
        <v>1297.0</v>
      </c>
      <c r="Q94" s="32">
        <v>161.0</v>
      </c>
      <c r="R94" s="33">
        <v>44581.0</v>
      </c>
      <c r="S94" s="33">
        <v>43094.0</v>
      </c>
      <c r="T94" s="29">
        <v>299000.0</v>
      </c>
      <c r="U94" s="33">
        <v>43256.0</v>
      </c>
      <c r="V94" s="1"/>
    </row>
    <row r="95" ht="24.0" customHeight="1">
      <c r="A95" s="1"/>
      <c r="B95" s="25" t="str">
        <f>HYPERLINK("https://www.compass.com/listing/103-18-171st-street-queens-ny-11433/1595816894571129297/view?agent_id=610d3f3370540700019b0833","103-18 171st St")</f>
        <v>103-18 171st St</v>
      </c>
      <c r="C95" s="26" t="s">
        <v>35</v>
      </c>
      <c r="D95" s="27" t="s">
        <v>23</v>
      </c>
      <c r="E95" s="28" t="str">
        <f>HYPERLINK("https://www.compass.com/building/103-18-171st-st-queens-ny-11433/293528409705932853/","103-18 171st St")</f>
        <v>103-18 171st St</v>
      </c>
      <c r="F95" s="26" t="s">
        <v>24</v>
      </c>
      <c r="G95" s="29">
        <v>450000.0</v>
      </c>
      <c r="H95" s="34"/>
      <c r="I95" s="29">
        <v>338.0</v>
      </c>
      <c r="J95" s="29">
        <v>4058.0</v>
      </c>
      <c r="K95" s="26" t="s">
        <v>32</v>
      </c>
      <c r="L95" s="27">
        <v>7.0</v>
      </c>
      <c r="M95" s="27">
        <v>3.0</v>
      </c>
      <c r="N95" s="27">
        <v>1.0</v>
      </c>
      <c r="O95" s="30"/>
      <c r="P95" s="30"/>
      <c r="Q95" s="32">
        <v>25.0</v>
      </c>
      <c r="R95" s="33">
        <v>45617.0</v>
      </c>
      <c r="S95" s="33">
        <v>45453.0</v>
      </c>
      <c r="T95" s="29">
        <v>450000.0</v>
      </c>
      <c r="U95" s="33">
        <v>45541.0</v>
      </c>
      <c r="V95" s="1"/>
    </row>
    <row r="96" ht="24.0" customHeight="1">
      <c r="A96" s="1"/>
      <c r="B96" s="25" t="str">
        <f>HYPERLINK("https://www.compass.com/listing/110-11-159th-street-queens-ny-11433/1468928239316470233/view?agent_id=610d3f3370540700019b0833","110-11 159th St")</f>
        <v>110-11 159th St</v>
      </c>
      <c r="C96" s="26" t="s">
        <v>35</v>
      </c>
      <c r="D96" s="27" t="s">
        <v>23</v>
      </c>
      <c r="E96" s="28" t="str">
        <f>HYPERLINK("https://www.compass.com/building/110-11-159th-st-queens-ny-11433/293530134101700901/","110-11 159th St")</f>
        <v>110-11 159th St</v>
      </c>
      <c r="F96" s="26" t="s">
        <v>24</v>
      </c>
      <c r="G96" s="29">
        <v>460000.0</v>
      </c>
      <c r="H96" s="34"/>
      <c r="I96" s="29">
        <v>327.0</v>
      </c>
      <c r="J96" s="29">
        <v>3929.0</v>
      </c>
      <c r="K96" s="26" t="s">
        <v>32</v>
      </c>
      <c r="L96" s="27">
        <v>8.0</v>
      </c>
      <c r="M96" s="27">
        <v>3.0</v>
      </c>
      <c r="N96" s="27">
        <v>1.0</v>
      </c>
      <c r="O96" s="30"/>
      <c r="P96" s="30"/>
      <c r="Q96" s="32">
        <v>37.0</v>
      </c>
      <c r="R96" s="33">
        <v>45617.0</v>
      </c>
      <c r="S96" s="33">
        <v>45278.0</v>
      </c>
      <c r="T96" s="29">
        <v>460000.0</v>
      </c>
      <c r="U96" s="33">
        <v>45366.0</v>
      </c>
      <c r="V96" s="1"/>
    </row>
    <row r="97" ht="24.0" customHeight="1">
      <c r="A97" s="1"/>
      <c r="B97" s="25" t="str">
        <f>HYPERLINK("https://www.compass.com/listing/109-27-175th-street-queens-ny-11433/1608256525217063881/view?agent_id=610d3f3370540700019b0833","109-27 175th St")</f>
        <v>109-27 175th St</v>
      </c>
      <c r="C97" s="26" t="s">
        <v>35</v>
      </c>
      <c r="D97" s="27" t="s">
        <v>23</v>
      </c>
      <c r="E97" s="28" t="str">
        <f>HYPERLINK("https://www.compass.com/building/109-27-175th-st-queens-ny-11433/293534196201211653/","109-27 175th St")</f>
        <v>109-27 175th St</v>
      </c>
      <c r="F97" s="26" t="s">
        <v>24</v>
      </c>
      <c r="G97" s="29">
        <v>430950.0</v>
      </c>
      <c r="H97" s="34"/>
      <c r="I97" s="29">
        <v>346.0</v>
      </c>
      <c r="J97" s="29">
        <v>4150.0</v>
      </c>
      <c r="K97" s="26" t="s">
        <v>32</v>
      </c>
      <c r="L97" s="27">
        <v>6.0</v>
      </c>
      <c r="M97" s="27">
        <v>3.0</v>
      </c>
      <c r="N97" s="27">
        <v>1.0</v>
      </c>
      <c r="O97" s="30"/>
      <c r="P97" s="30"/>
      <c r="Q97" s="32">
        <v>34.0</v>
      </c>
      <c r="R97" s="33">
        <v>45617.0</v>
      </c>
      <c r="S97" s="33">
        <v>45470.0</v>
      </c>
      <c r="T97" s="29">
        <v>430950.0</v>
      </c>
      <c r="U97" s="33">
        <v>45530.0</v>
      </c>
      <c r="V97" s="1"/>
    </row>
    <row r="98" ht="24.0" customHeight="1">
      <c r="A98" s="1"/>
      <c r="B98" s="25" t="str">
        <f>HYPERLINK("https://www.compass.com/listing/108-15-171st-place-queens-ny-11433/619062724712317857/view?agent_id=610d3f3370540700019b0833","108-15 171st Pl")</f>
        <v>108-15 171st Pl</v>
      </c>
      <c r="C98" s="26" t="s">
        <v>35</v>
      </c>
      <c r="D98" s="27" t="s">
        <v>23</v>
      </c>
      <c r="E98" s="28" t="str">
        <f>HYPERLINK("https://www.compass.com/building/108-15-171st-pl-queens-ny-11433/293530872760618405/","108-15 171st Pl")</f>
        <v>108-15 171st Pl</v>
      </c>
      <c r="F98" s="26" t="s">
        <v>24</v>
      </c>
      <c r="G98" s="29">
        <v>425000.0</v>
      </c>
      <c r="H98" s="34"/>
      <c r="I98" s="29">
        <v>390.0</v>
      </c>
      <c r="J98" s="29">
        <v>4677.0</v>
      </c>
      <c r="K98" s="26" t="s">
        <v>42</v>
      </c>
      <c r="L98" s="27">
        <v>5.0</v>
      </c>
      <c r="M98" s="27">
        <v>3.0</v>
      </c>
      <c r="N98" s="27">
        <v>1.0</v>
      </c>
      <c r="O98" s="30"/>
      <c r="P98" s="30"/>
      <c r="Q98" s="32">
        <v>230.0</v>
      </c>
      <c r="R98" s="33">
        <v>45617.0</v>
      </c>
      <c r="S98" s="33">
        <v>44096.0</v>
      </c>
      <c r="T98" s="29">
        <v>425000.0</v>
      </c>
      <c r="U98" s="33">
        <v>44406.0</v>
      </c>
      <c r="V98" s="1"/>
    </row>
    <row r="99" ht="24.0" customHeight="1">
      <c r="A99" s="1"/>
      <c r="B99" s="25" t="str">
        <f>HYPERLINK("https://www.compass.com/listing/109-24-175th-street-queens-ny-11433/95566519345438817/view?agent_id=610d3f3370540700019b0833","109-24 175th St")</f>
        <v>109-24 175th St</v>
      </c>
      <c r="C99" s="26" t="s">
        <v>35</v>
      </c>
      <c r="D99" s="27" t="s">
        <v>23</v>
      </c>
      <c r="E99" s="28" t="str">
        <f>HYPERLINK("https://www.compass.com/building/109-24-175th-st-queens-ny-11433/293532433586956869/","109-24 175th St")</f>
        <v>109-24 175th St</v>
      </c>
      <c r="F99" s="26" t="s">
        <v>24</v>
      </c>
      <c r="G99" s="29">
        <v>428866.0</v>
      </c>
      <c r="H99" s="34"/>
      <c r="I99" s="29">
        <v>223.0</v>
      </c>
      <c r="J99" s="29">
        <v>2678.0</v>
      </c>
      <c r="K99" s="26" t="s">
        <v>41</v>
      </c>
      <c r="L99" s="27">
        <v>7.0</v>
      </c>
      <c r="M99" s="27">
        <v>3.0</v>
      </c>
      <c r="N99" s="27">
        <v>0.0</v>
      </c>
      <c r="O99" s="30"/>
      <c r="P99" s="30"/>
      <c r="Q99" s="32">
        <v>161.0</v>
      </c>
      <c r="R99" s="33">
        <v>45617.0</v>
      </c>
      <c r="S99" s="33">
        <v>43144.0</v>
      </c>
      <c r="T99" s="29">
        <v>428866.0</v>
      </c>
      <c r="U99" s="33">
        <v>43343.0</v>
      </c>
      <c r="V99" s="1"/>
    </row>
    <row r="100" ht="24.0" customHeight="1">
      <c r="A100" s="1"/>
      <c r="B100" s="25" t="str">
        <f>HYPERLINK("https://www.compass.com/listing/110-47-155th-street-queens-ny-11433/1730617743800659865/view?agent_id=610d3f3370540700019b0833","110-47 155th St")</f>
        <v>110-47 155th St</v>
      </c>
      <c r="C100" s="26" t="s">
        <v>35</v>
      </c>
      <c r="D100" s="27" t="s">
        <v>23</v>
      </c>
      <c r="E100" s="28" t="str">
        <f>HYPERLINK("https://www.compass.com/building/110-47-155th-st-queens-ny-11433/293533279821301861/","110-47 155th St")</f>
        <v>110-47 155th St</v>
      </c>
      <c r="F100" s="26" t="s">
        <v>24</v>
      </c>
      <c r="G100" s="29">
        <v>270000.0</v>
      </c>
      <c r="H100" s="34"/>
      <c r="I100" s="29">
        <v>221.0</v>
      </c>
      <c r="J100" s="29">
        <v>2648.0</v>
      </c>
      <c r="K100" s="26" t="s">
        <v>36</v>
      </c>
      <c r="L100" s="27">
        <v>6.0</v>
      </c>
      <c r="M100" s="27">
        <v>3.0</v>
      </c>
      <c r="N100" s="27">
        <v>1.0</v>
      </c>
      <c r="O100" s="30"/>
      <c r="P100" s="30"/>
      <c r="Q100" s="32">
        <v>455.0</v>
      </c>
      <c r="R100" s="33">
        <v>45617.0</v>
      </c>
      <c r="S100" s="33">
        <v>41439.0</v>
      </c>
      <c r="T100" s="29">
        <v>270000.0</v>
      </c>
      <c r="U100" s="33">
        <v>42095.0</v>
      </c>
      <c r="V100" s="1"/>
    </row>
    <row r="101" ht="24.0" customHeight="1">
      <c r="A101" s="1"/>
      <c r="B101" s="25" t="str">
        <f>HYPERLINK("https://www.compass.com/listing/150-23-arlington-terrace-queens-ny-11433/1556354018883529769/view?agent_id=610d3f3370540700019b0833","150-23 Arlington Ter")</f>
        <v>150-23 Arlington Ter</v>
      </c>
      <c r="C101" s="26" t="s">
        <v>35</v>
      </c>
      <c r="D101" s="27" t="s">
        <v>23</v>
      </c>
      <c r="E101" s="28" t="str">
        <f>HYPERLINK("https://www.compass.com/building/150-23-arlington-ter-queens-ny-11433/293417976030402101/","150-23 Arlington Ter")</f>
        <v>150-23 Arlington Ter</v>
      </c>
      <c r="F101" s="26" t="s">
        <v>24</v>
      </c>
      <c r="G101" s="29">
        <v>230178.0</v>
      </c>
      <c r="H101" s="34"/>
      <c r="I101" s="29">
        <v>190.0</v>
      </c>
      <c r="J101" s="29">
        <v>2278.0</v>
      </c>
      <c r="K101" s="26" t="s">
        <v>32</v>
      </c>
      <c r="L101" s="27">
        <v>6.0</v>
      </c>
      <c r="M101" s="27">
        <v>3.0</v>
      </c>
      <c r="N101" s="27">
        <v>1.0</v>
      </c>
      <c r="O101" s="30"/>
      <c r="P101" s="30"/>
      <c r="Q101" s="32">
        <v>355.0</v>
      </c>
      <c r="R101" s="33">
        <v>45597.0</v>
      </c>
      <c r="S101" s="33">
        <v>41334.0</v>
      </c>
      <c r="T101" s="29">
        <v>230178.0</v>
      </c>
      <c r="U101" s="33">
        <v>41821.0</v>
      </c>
      <c r="V101" s="1"/>
    </row>
    <row r="102" ht="24.0" customHeight="1">
      <c r="A102" s="1"/>
      <c r="B102" s="25" t="str">
        <f>HYPERLINK("https://www.compass.com/listing/107-12-guy-r-brewer-boulevard-unit-10c-queens-ny-11433/1055324780835921761/view?agent_id=610d3f3370540700019b0833","107-12 Guy R Brewer Blvd, Unit 10C")</f>
        <v>107-12 Guy R Brewer Blvd, Unit 10C</v>
      </c>
      <c r="C102" s="26" t="s">
        <v>35</v>
      </c>
      <c r="D102" s="27" t="s">
        <v>23</v>
      </c>
      <c r="E102" s="28" t="str">
        <f>HYPERLINK("https://www.compass.com/building/107-12-guy-r-brewer-blvd-queens-ny-11433/307450871356949797/","107-12 Guy R Brewer Blvd")</f>
        <v>107-12 Guy R Brewer Blvd</v>
      </c>
      <c r="F102" s="26" t="s">
        <v>24</v>
      </c>
      <c r="G102" s="29">
        <v>365000.0</v>
      </c>
      <c r="H102" s="29">
        <v>395.0</v>
      </c>
      <c r="I102" s="29">
        <v>536.0</v>
      </c>
      <c r="J102" s="29">
        <v>2923.0</v>
      </c>
      <c r="K102" s="26" t="s">
        <v>31</v>
      </c>
      <c r="L102" s="27">
        <v>6.0</v>
      </c>
      <c r="M102" s="27">
        <v>3.0</v>
      </c>
      <c r="N102" s="27">
        <v>1.0</v>
      </c>
      <c r="O102" s="30"/>
      <c r="P102" s="27">
        <v>923.0</v>
      </c>
      <c r="Q102" s="32">
        <v>26.0</v>
      </c>
      <c r="R102" s="33">
        <v>45617.0</v>
      </c>
      <c r="S102" s="33">
        <v>44707.0</v>
      </c>
      <c r="T102" s="29">
        <v>365000.0</v>
      </c>
      <c r="U102" s="33">
        <v>44936.0</v>
      </c>
      <c r="V102" s="1"/>
    </row>
    <row r="103" ht="24.0" customHeight="1">
      <c r="A103" s="1"/>
      <c r="B103" s="25" t="str">
        <f>HYPERLINK("https://www.compass.com/listing/150-14-107th-avenue-queens-ny-11433/1591476917913491625/view?agent_id=610d3f3370540700019b0833","150-14 107th Ave")</f>
        <v>150-14 107th Ave</v>
      </c>
      <c r="C103" s="26" t="s">
        <v>35</v>
      </c>
      <c r="D103" s="27" t="s">
        <v>23</v>
      </c>
      <c r="E103" s="28" t="str">
        <f>HYPERLINK("https://www.compass.com/building/150-14-107th-ave-queens-ny-11433/293533847897805237/","150-14 107th Ave")</f>
        <v>150-14 107th Ave</v>
      </c>
      <c r="F103" s="26" t="s">
        <v>24</v>
      </c>
      <c r="G103" s="29">
        <v>450000.0</v>
      </c>
      <c r="H103" s="29">
        <v>331.0</v>
      </c>
      <c r="I103" s="29">
        <v>211.0</v>
      </c>
      <c r="J103" s="29">
        <v>2526.0</v>
      </c>
      <c r="K103" s="26" t="s">
        <v>32</v>
      </c>
      <c r="L103" s="27">
        <v>7.0</v>
      </c>
      <c r="M103" s="27">
        <v>3.0</v>
      </c>
      <c r="N103" s="27">
        <v>1.0</v>
      </c>
      <c r="O103" s="30"/>
      <c r="P103" s="31">
        <v>1360.0</v>
      </c>
      <c r="Q103" s="32">
        <v>2.0</v>
      </c>
      <c r="R103" s="33">
        <v>45617.0</v>
      </c>
      <c r="S103" s="33">
        <v>45447.0</v>
      </c>
      <c r="T103" s="29">
        <v>450000.0</v>
      </c>
      <c r="U103" s="33">
        <v>45559.0</v>
      </c>
      <c r="V103" s="1"/>
    </row>
    <row r="104" ht="24.0" customHeight="1">
      <c r="A104" s="1"/>
      <c r="B104" s="25" t="str">
        <f>HYPERLINK("https://www.compass.com/listing/111-16-174th-street-queens-ny-11433/1730732028308709601/view?agent_id=610d3f3370540700019b0833","111-16 174th St")</f>
        <v>111-16 174th St</v>
      </c>
      <c r="C104" s="26" t="s">
        <v>35</v>
      </c>
      <c r="D104" s="27" t="s">
        <v>23</v>
      </c>
      <c r="E104" s="28" t="str">
        <f>HYPERLINK("https://www.compass.com/building/111-16-174th-st-queens-ny-11433/293534066253363317/","111-16 174th St")</f>
        <v>111-16 174th St</v>
      </c>
      <c r="F104" s="26" t="s">
        <v>24</v>
      </c>
      <c r="G104" s="29">
        <v>440000.0</v>
      </c>
      <c r="H104" s="34"/>
      <c r="I104" s="29">
        <v>322.0</v>
      </c>
      <c r="J104" s="29">
        <v>3858.0</v>
      </c>
      <c r="K104" s="26" t="s">
        <v>36</v>
      </c>
      <c r="L104" s="27">
        <v>6.0</v>
      </c>
      <c r="M104" s="27">
        <v>3.0</v>
      </c>
      <c r="N104" s="27">
        <v>1.0</v>
      </c>
      <c r="O104" s="30"/>
      <c r="P104" s="30"/>
      <c r="Q104" s="32">
        <v>64.0</v>
      </c>
      <c r="R104" s="33">
        <v>45624.0</v>
      </c>
      <c r="S104" s="33">
        <v>42179.0</v>
      </c>
      <c r="T104" s="29">
        <v>440000.0</v>
      </c>
      <c r="U104" s="33">
        <v>42277.0</v>
      </c>
      <c r="V104" s="1"/>
    </row>
    <row r="105" ht="24.0" customHeight="1">
      <c r="A105" s="1"/>
      <c r="B105" s="25" t="str">
        <f>HYPERLINK("https://www.compass.com/listing/111-24-174th-street-queens-ny-11433/29131906591240529/view?agent_id=610d3f3370540700019b0833","111-24 174th St")</f>
        <v>111-24 174th St</v>
      </c>
      <c r="C105" s="26" t="s">
        <v>35</v>
      </c>
      <c r="D105" s="27" t="s">
        <v>23</v>
      </c>
      <c r="E105" s="28" t="str">
        <f>HYPERLINK("https://www.compass.com/building/111-24-174th-st-queens-ny-11433/293529366208458389/","111-24 174th St")</f>
        <v>111-24 174th St</v>
      </c>
      <c r="F105" s="26" t="s">
        <v>24</v>
      </c>
      <c r="G105" s="29">
        <v>455000.0</v>
      </c>
      <c r="H105" s="34"/>
      <c r="I105" s="29">
        <v>326.0</v>
      </c>
      <c r="J105" s="29">
        <v>3907.0</v>
      </c>
      <c r="K105" s="26" t="s">
        <v>32</v>
      </c>
      <c r="L105" s="27">
        <v>6.0</v>
      </c>
      <c r="M105" s="27">
        <v>3.0</v>
      </c>
      <c r="N105" s="27">
        <v>1.0</v>
      </c>
      <c r="O105" s="30"/>
      <c r="P105" s="30"/>
      <c r="Q105" s="32">
        <v>154.0</v>
      </c>
      <c r="R105" s="33">
        <v>45626.0</v>
      </c>
      <c r="S105" s="33">
        <v>42664.0</v>
      </c>
      <c r="T105" s="29">
        <v>455000.0</v>
      </c>
      <c r="U105" s="33">
        <v>42906.0</v>
      </c>
      <c r="V105" s="1"/>
    </row>
    <row r="106" ht="24.0" customHeight="1">
      <c r="A106" s="1"/>
      <c r="B106" s="25" t="str">
        <f>HYPERLINK("https://www.compass.com/listing/110-24-157th-street-queens-ny-11433/485095820610884593/view?agent_id=610d3f3370540700019b0833","110-24 157th St")</f>
        <v>110-24 157th St</v>
      </c>
      <c r="C106" s="26" t="s">
        <v>35</v>
      </c>
      <c r="D106" s="27" t="s">
        <v>23</v>
      </c>
      <c r="E106" s="28" t="str">
        <f>HYPERLINK("https://www.compass.com/building/110-24-157th-st-queens-ny-11433/293528920513398389/","110-24 157th St")</f>
        <v>110-24 157th St</v>
      </c>
      <c r="F106" s="26" t="s">
        <v>24</v>
      </c>
      <c r="G106" s="29">
        <v>485000.0</v>
      </c>
      <c r="H106" s="29">
        <v>379.0</v>
      </c>
      <c r="I106" s="29">
        <v>310.0</v>
      </c>
      <c r="J106" s="29">
        <v>3722.0</v>
      </c>
      <c r="K106" s="26" t="s">
        <v>32</v>
      </c>
      <c r="L106" s="27">
        <v>6.0</v>
      </c>
      <c r="M106" s="27">
        <v>3.0</v>
      </c>
      <c r="N106" s="27">
        <v>1.0</v>
      </c>
      <c r="O106" s="30"/>
      <c r="P106" s="31">
        <v>1280.0</v>
      </c>
      <c r="Q106" s="32">
        <v>77.0</v>
      </c>
      <c r="R106" s="33">
        <v>45617.0</v>
      </c>
      <c r="S106" s="33">
        <v>43917.0</v>
      </c>
      <c r="T106" s="29">
        <v>485000.0</v>
      </c>
      <c r="U106" s="33">
        <v>44055.0</v>
      </c>
      <c r="V106" s="1"/>
    </row>
    <row r="107" ht="24.0" customHeight="1">
      <c r="A107" s="1"/>
      <c r="B107" s="25" t="str">
        <f>HYPERLINK("https://www.compass.com/listing/110-36-174th-street-queens-ny-11433/29131845002106833/view?agent_id=610d3f3370540700019b0833","110-36 174th St")</f>
        <v>110-36 174th St</v>
      </c>
      <c r="C107" s="26" t="s">
        <v>35</v>
      </c>
      <c r="D107" s="27" t="s">
        <v>23</v>
      </c>
      <c r="E107" s="28" t="str">
        <f>HYPERLINK("https://www.compass.com/building/110-36-174th-st-queens-ny-11433/293417719246621237/","110-36 174th St")</f>
        <v>110-36 174th St</v>
      </c>
      <c r="F107" s="26" t="s">
        <v>24</v>
      </c>
      <c r="G107" s="29">
        <v>460000.0</v>
      </c>
      <c r="H107" s="29">
        <v>481.0</v>
      </c>
      <c r="I107" s="29">
        <v>3622.0</v>
      </c>
      <c r="J107" s="29">
        <v>43464.0</v>
      </c>
      <c r="K107" s="26" t="s">
        <v>32</v>
      </c>
      <c r="L107" s="27">
        <v>6.0</v>
      </c>
      <c r="M107" s="27">
        <v>3.0</v>
      </c>
      <c r="N107" s="30"/>
      <c r="O107" s="30"/>
      <c r="P107" s="27">
        <v>956.0</v>
      </c>
      <c r="Q107" s="32">
        <v>101.0</v>
      </c>
      <c r="R107" s="33">
        <v>44247.0</v>
      </c>
      <c r="S107" s="33">
        <v>42965.0</v>
      </c>
      <c r="T107" s="29">
        <v>460000.0</v>
      </c>
      <c r="U107" s="33">
        <v>43067.0</v>
      </c>
      <c r="V107" s="1"/>
    </row>
    <row r="108" ht="24.0" customHeight="1">
      <c r="A108" s="1"/>
      <c r="B108" s="25" t="str">
        <f>HYPERLINK("https://www.compass.com/listing/109-02-177th-street-unit-1-queens-ny-11433/384017794257344097/view?agent_id=610d3f3370540700019b0833","109-02 177th St, Unit 1")</f>
        <v>109-02 177th St, Unit 1</v>
      </c>
      <c r="C108" s="26" t="s">
        <v>35</v>
      </c>
      <c r="D108" s="27" t="s">
        <v>23</v>
      </c>
      <c r="E108" s="28" t="str">
        <f>HYPERLINK("https://www.compass.com/building/109-02-177th-st-queens-ny-11433/293535156898152981/","109-02 177th St")</f>
        <v>109-02 177th St</v>
      </c>
      <c r="F108" s="26" t="s">
        <v>24</v>
      </c>
      <c r="G108" s="29">
        <v>449999.0</v>
      </c>
      <c r="H108" s="29">
        <v>389.0</v>
      </c>
      <c r="I108" s="29">
        <v>0.0</v>
      </c>
      <c r="J108" s="29">
        <v>0.0</v>
      </c>
      <c r="K108" s="26" t="s">
        <v>39</v>
      </c>
      <c r="L108" s="27">
        <v>5.0</v>
      </c>
      <c r="M108" s="27">
        <v>3.0</v>
      </c>
      <c r="N108" s="27">
        <v>1.0</v>
      </c>
      <c r="O108" s="30"/>
      <c r="P108" s="31">
        <v>1156.0</v>
      </c>
      <c r="Q108" s="32">
        <v>173.0</v>
      </c>
      <c r="R108" s="33">
        <v>44247.0</v>
      </c>
      <c r="S108" s="33">
        <v>43781.0</v>
      </c>
      <c r="T108" s="29">
        <v>449999.0</v>
      </c>
      <c r="U108" s="33">
        <v>44049.0</v>
      </c>
      <c r="V108" s="1"/>
    </row>
    <row r="109" ht="24.0" customHeight="1">
      <c r="A109" s="1"/>
      <c r="B109" s="25" t="str">
        <f>HYPERLINK("https://www.compass.com/listing/105-47-171st-place-queens-ny-11433/1764967766709090873/view?agent_id=610d3f3370540700019b0833","105-47 171st Pl")</f>
        <v>105-47 171st Pl</v>
      </c>
      <c r="C109" s="26" t="s">
        <v>35</v>
      </c>
      <c r="D109" s="27" t="s">
        <v>23</v>
      </c>
      <c r="E109" s="28" t="str">
        <f>HYPERLINK("https://www.compass.com/building/105-47-171st-pl-queens-ny-11433/293528527414793941/","105-47 171st Pl")</f>
        <v>105-47 171st Pl</v>
      </c>
      <c r="F109" s="26" t="s">
        <v>24</v>
      </c>
      <c r="G109" s="29">
        <v>480000.0</v>
      </c>
      <c r="H109" s="34"/>
      <c r="I109" s="29">
        <v>208.0</v>
      </c>
      <c r="J109" s="29">
        <v>2500.0</v>
      </c>
      <c r="K109" s="26" t="s">
        <v>32</v>
      </c>
      <c r="L109" s="27">
        <v>6.0</v>
      </c>
      <c r="M109" s="27">
        <v>3.0</v>
      </c>
      <c r="N109" s="27">
        <v>1.0</v>
      </c>
      <c r="O109" s="30"/>
      <c r="P109" s="30"/>
      <c r="Q109" s="32">
        <v>420.0</v>
      </c>
      <c r="R109" s="33">
        <v>45617.0</v>
      </c>
      <c r="S109" s="33">
        <v>44093.0</v>
      </c>
      <c r="T109" s="29">
        <v>480000.0</v>
      </c>
      <c r="U109" s="33">
        <v>44581.0</v>
      </c>
      <c r="V109" s="1"/>
    </row>
    <row r="110" ht="24.0" customHeight="1">
      <c r="A110" s="1"/>
      <c r="B110" s="25" t="str">
        <f>HYPERLINK("https://www.compass.com/listing/164-43-nadal-place-queens-ny-11433/4876847929760943169/view?agent_id=610d3f3370540700019b0833","164-43 Nadal Pl")</f>
        <v>164-43 Nadal Pl</v>
      </c>
      <c r="C110" s="26" t="s">
        <v>35</v>
      </c>
      <c r="D110" s="27" t="s">
        <v>23</v>
      </c>
      <c r="E110" s="27" t="s">
        <v>43</v>
      </c>
      <c r="F110" s="26" t="s">
        <v>24</v>
      </c>
      <c r="G110" s="29">
        <v>415000.0</v>
      </c>
      <c r="H110" s="34"/>
      <c r="I110" s="29">
        <v>278.0</v>
      </c>
      <c r="J110" s="29">
        <v>3332.0</v>
      </c>
      <c r="K110" s="26" t="s">
        <v>32</v>
      </c>
      <c r="L110" s="27">
        <v>5.0</v>
      </c>
      <c r="M110" s="27">
        <v>3.0</v>
      </c>
      <c r="N110" s="27">
        <v>1.0</v>
      </c>
      <c r="O110" s="30"/>
      <c r="P110" s="30"/>
      <c r="Q110" s="32">
        <v>409.0</v>
      </c>
      <c r="R110" s="33">
        <v>45597.0</v>
      </c>
      <c r="S110" s="33">
        <v>42675.0</v>
      </c>
      <c r="T110" s="29">
        <v>415000.0</v>
      </c>
      <c r="U110" s="33">
        <v>43118.0</v>
      </c>
      <c r="V110" s="1"/>
    </row>
    <row r="111" ht="24.0" customHeight="1">
      <c r="A111" s="1"/>
      <c r="B111" s="25" t="str">
        <f>HYPERLINK("https://www.compass.com/listing/110-39-177th-street-queens-ny-11433/1007591234141367569/view?agent_id=610d3f3370540700019b0833","110-39 177th St")</f>
        <v>110-39 177th St</v>
      </c>
      <c r="C111" s="26" t="s">
        <v>35</v>
      </c>
      <c r="D111" s="27" t="s">
        <v>23</v>
      </c>
      <c r="E111" s="28" t="str">
        <f>HYPERLINK("https://www.compass.com/building/110-39-177th-st-queens-ny-11433/293530815609010165/","110-39 177th St")</f>
        <v>110-39 177th St</v>
      </c>
      <c r="F111" s="26" t="s">
        <v>24</v>
      </c>
      <c r="G111" s="29">
        <v>485000.0</v>
      </c>
      <c r="H111" s="29">
        <v>404.0</v>
      </c>
      <c r="I111" s="29">
        <v>328.0</v>
      </c>
      <c r="J111" s="29">
        <v>3940.0</v>
      </c>
      <c r="K111" s="26" t="s">
        <v>32</v>
      </c>
      <c r="L111" s="27">
        <v>6.0</v>
      </c>
      <c r="M111" s="27">
        <v>3.0</v>
      </c>
      <c r="N111" s="27">
        <v>1.0</v>
      </c>
      <c r="O111" s="30"/>
      <c r="P111" s="31">
        <v>1200.0</v>
      </c>
      <c r="Q111" s="32">
        <v>28.0</v>
      </c>
      <c r="R111" s="33">
        <v>45597.0</v>
      </c>
      <c r="S111" s="33">
        <v>44655.0</v>
      </c>
      <c r="T111" s="29">
        <v>485000.0</v>
      </c>
      <c r="U111" s="33">
        <v>44798.0</v>
      </c>
      <c r="V111" s="1"/>
    </row>
    <row r="112" ht="24.0" customHeight="1">
      <c r="A112" s="1"/>
      <c r="B112" s="25" t="str">
        <f>HYPERLINK("https://www.compass.com/listing/174-35-polhemus-avenue-queens-ny-11433/1730516776291913393/view?agent_id=610d3f3370540700019b0833","174-35 Polhemus Ave")</f>
        <v>174-35 Polhemus Ave</v>
      </c>
      <c r="C112" s="26" t="s">
        <v>35</v>
      </c>
      <c r="D112" s="27" t="s">
        <v>23</v>
      </c>
      <c r="E112" s="28" t="str">
        <f>HYPERLINK("https://www.compass.com/building/174-35-polhemus-ave-queens-ny-11433/293530936698487189/","174-35 Polhemus Ave")</f>
        <v>174-35 Polhemus Ave</v>
      </c>
      <c r="F112" s="26" t="s">
        <v>24</v>
      </c>
      <c r="G112" s="29">
        <v>440000.0</v>
      </c>
      <c r="H112" s="34"/>
      <c r="I112" s="29">
        <v>285.0</v>
      </c>
      <c r="J112" s="29">
        <v>3415.0</v>
      </c>
      <c r="K112" s="26" t="s">
        <v>32</v>
      </c>
      <c r="L112" s="27">
        <v>6.0</v>
      </c>
      <c r="M112" s="27">
        <v>3.0</v>
      </c>
      <c r="N112" s="27">
        <v>1.0</v>
      </c>
      <c r="O112" s="27">
        <v>1.0</v>
      </c>
      <c r="P112" s="30"/>
      <c r="Q112" s="32">
        <v>53.0</v>
      </c>
      <c r="R112" s="33">
        <v>45597.0</v>
      </c>
      <c r="S112" s="33">
        <v>42426.0</v>
      </c>
      <c r="T112" s="29">
        <v>440000.0</v>
      </c>
      <c r="U112" s="33">
        <v>42480.0</v>
      </c>
      <c r="V112" s="1"/>
    </row>
    <row r="113" ht="24.0" customHeight="1">
      <c r="A113" s="1"/>
      <c r="B113" s="25" t="str">
        <f>HYPERLINK("https://www.compass.com/listing/106-34-156th-street-queens-ny-11433/446594801879077569/view?agent_id=610d3f3370540700019b0833","106-34 156th St")</f>
        <v>106-34 156th St</v>
      </c>
      <c r="C113" s="26" t="s">
        <v>35</v>
      </c>
      <c r="D113" s="27" t="s">
        <v>23</v>
      </c>
      <c r="E113" s="28" t="str">
        <f>HYPERLINK("https://www.compass.com/building/106-34-156th-st-queens-ny-11433/293417718734915845/","106-34 156th St")</f>
        <v>106-34 156th St</v>
      </c>
      <c r="F113" s="26" t="s">
        <v>24</v>
      </c>
      <c r="G113" s="34"/>
      <c r="H113" s="29">
        <v>2.0</v>
      </c>
      <c r="I113" s="29">
        <v>0.0</v>
      </c>
      <c r="J113" s="29">
        <v>0.0</v>
      </c>
      <c r="K113" s="49"/>
      <c r="L113" s="30"/>
      <c r="M113" s="27">
        <v>3.0</v>
      </c>
      <c r="N113" s="27">
        <v>1.0</v>
      </c>
      <c r="O113" s="27">
        <v>0.0</v>
      </c>
      <c r="P113" s="31">
        <v>1000.0</v>
      </c>
      <c r="Q113" s="32">
        <v>6.0</v>
      </c>
      <c r="R113" s="33">
        <v>44406.0</v>
      </c>
      <c r="S113" s="33">
        <v>43438.0</v>
      </c>
      <c r="T113" s="34"/>
      <c r="U113" s="33">
        <v>43444.0</v>
      </c>
      <c r="V113" s="1"/>
    </row>
    <row r="114" ht="24.0" customHeight="1">
      <c r="A114" s="1"/>
      <c r="B114" s="25" t="str">
        <f>HYPERLINK("https://www.compass.com/listing/110-46-172nd-street-queens-ny-11433/1730663716845253233/view?agent_id=610d3f3370540700019b0833","110-46 172nd St")</f>
        <v>110-46 172nd St</v>
      </c>
      <c r="C114" s="26" t="s">
        <v>35</v>
      </c>
      <c r="D114" s="27" t="s">
        <v>23</v>
      </c>
      <c r="E114" s="28" t="str">
        <f>HYPERLINK("https://www.compass.com/building/110-46-172nd-st-queens-ny-11433/293527994520123301/","110-46 172nd St")</f>
        <v>110-46 172nd St</v>
      </c>
      <c r="F114" s="26" t="s">
        <v>24</v>
      </c>
      <c r="G114" s="29">
        <v>475000.0</v>
      </c>
      <c r="H114" s="34"/>
      <c r="I114" s="29">
        <v>290.0</v>
      </c>
      <c r="J114" s="29">
        <v>3480.0</v>
      </c>
      <c r="K114" s="26" t="s">
        <v>32</v>
      </c>
      <c r="L114" s="27">
        <v>7.0</v>
      </c>
      <c r="M114" s="27">
        <v>3.0</v>
      </c>
      <c r="N114" s="27">
        <v>1.0</v>
      </c>
      <c r="O114" s="30"/>
      <c r="P114" s="30"/>
      <c r="Q114" s="32">
        <v>201.0</v>
      </c>
      <c r="R114" s="33">
        <v>45617.0</v>
      </c>
      <c r="S114" s="33">
        <v>43516.0</v>
      </c>
      <c r="T114" s="29">
        <v>475000.0</v>
      </c>
      <c r="U114" s="33">
        <v>43777.0</v>
      </c>
      <c r="V114" s="1"/>
    </row>
    <row r="115" ht="24.0" customHeight="1">
      <c r="A115" s="1"/>
      <c r="B115" s="25" t="str">
        <f>HYPERLINK("https://www.compass.com/listing/104-41-165th-street-queens-ny-11433/29130994254738545/view?agent_id=610d3f3370540700019b0833","104-41 165th St")</f>
        <v>104-41 165th St</v>
      </c>
      <c r="C115" s="26" t="s">
        <v>35</v>
      </c>
      <c r="D115" s="27" t="s">
        <v>23</v>
      </c>
      <c r="E115" s="28" t="str">
        <f>HYPERLINK("https://www.compass.com/building/104-41-165th-st-queens-ny-11433/293534036373128357/","104-41 165th St")</f>
        <v>104-41 165th St</v>
      </c>
      <c r="F115" s="26" t="s">
        <v>24</v>
      </c>
      <c r="G115" s="29">
        <v>160000.0</v>
      </c>
      <c r="H115" s="34"/>
      <c r="I115" s="29">
        <v>196.0</v>
      </c>
      <c r="J115" s="29">
        <v>2346.0</v>
      </c>
      <c r="K115" s="26" t="s">
        <v>44</v>
      </c>
      <c r="L115" s="30"/>
      <c r="M115" s="27">
        <v>3.0</v>
      </c>
      <c r="N115" s="27">
        <v>1.0</v>
      </c>
      <c r="O115" s="27">
        <v>0.0</v>
      </c>
      <c r="P115" s="30"/>
      <c r="Q115" s="48"/>
      <c r="R115" s="35"/>
      <c r="S115" s="35"/>
      <c r="T115" s="29">
        <v>160000.0</v>
      </c>
      <c r="U115" s="33">
        <v>42517.0</v>
      </c>
      <c r="V115" s="1"/>
    </row>
    <row r="116" ht="24.0" customHeight="1">
      <c r="A116" s="1"/>
      <c r="B116" s="25" t="str">
        <f>HYPERLINK("https://www.compass.com/listing/103-35-171st-street-queens-ny-11433/274225044702366625/view?agent_id=610d3f3370540700019b0833","103-35 171st Street")</f>
        <v>103-35 171st Street</v>
      </c>
      <c r="C116" s="26" t="s">
        <v>35</v>
      </c>
      <c r="D116" s="27" t="s">
        <v>23</v>
      </c>
      <c r="E116" s="28" t="str">
        <f>HYPERLINK("https://www.compass.com/building/103-35-171st-st-queens-ny-11433/293529967394827797/","103-35 171st St")</f>
        <v>103-35 171st St</v>
      </c>
      <c r="F116" s="26" t="s">
        <v>24</v>
      </c>
      <c r="G116" s="29">
        <v>455000.0</v>
      </c>
      <c r="H116" s="29">
        <v>374.0</v>
      </c>
      <c r="I116" s="29">
        <v>419.0</v>
      </c>
      <c r="J116" s="29">
        <v>5028.0</v>
      </c>
      <c r="K116" s="26" t="s">
        <v>25</v>
      </c>
      <c r="L116" s="30"/>
      <c r="M116" s="27">
        <v>3.0</v>
      </c>
      <c r="N116" s="30"/>
      <c r="O116" s="30"/>
      <c r="P116" s="31">
        <v>1216.0</v>
      </c>
      <c r="Q116" s="32">
        <v>1.0</v>
      </c>
      <c r="R116" s="33">
        <v>43631.0</v>
      </c>
      <c r="S116" s="33">
        <v>43630.0</v>
      </c>
      <c r="T116" s="29">
        <v>455000.0</v>
      </c>
      <c r="U116" s="33">
        <v>43631.0</v>
      </c>
      <c r="V116" s="1"/>
    </row>
    <row r="117" ht="24.0" customHeight="1">
      <c r="A117" s="1"/>
      <c r="B117" s="25" t="str">
        <f>HYPERLINK("https://www.compass.com/listing/169-13-110th-road-queens-ny-11433/29131243446711409/view?agent_id=610d3f3370540700019b0833","169-13 110th Road")</f>
        <v>169-13 110th Road</v>
      </c>
      <c r="C117" s="26" t="s">
        <v>35</v>
      </c>
      <c r="D117" s="27" t="s">
        <v>23</v>
      </c>
      <c r="E117" s="28" t="str">
        <f>HYPERLINK("https://www.compass.com/building/169-13-110th-rd-queens-ny-11433/293526193787897829/","169-13 110th Rd")</f>
        <v>169-13 110th Rd</v>
      </c>
      <c r="F117" s="26" t="s">
        <v>24</v>
      </c>
      <c r="G117" s="29">
        <v>499000.0</v>
      </c>
      <c r="H117" s="34"/>
      <c r="I117" s="29">
        <v>174.0</v>
      </c>
      <c r="J117" s="29">
        <v>2088.0</v>
      </c>
      <c r="K117" s="26" t="s">
        <v>32</v>
      </c>
      <c r="L117" s="27">
        <v>12.0</v>
      </c>
      <c r="M117" s="27">
        <v>3.0</v>
      </c>
      <c r="N117" s="30"/>
      <c r="O117" s="30"/>
      <c r="P117" s="30"/>
      <c r="Q117" s="32">
        <v>13.0</v>
      </c>
      <c r="R117" s="33">
        <v>44032.0</v>
      </c>
      <c r="S117" s="33">
        <v>43019.0</v>
      </c>
      <c r="T117" s="29">
        <v>499000.0</v>
      </c>
      <c r="U117" s="33">
        <v>43087.0</v>
      </c>
      <c r="V117" s="1"/>
    </row>
    <row r="118" ht="24.0" customHeight="1">
      <c r="A118" s="1"/>
      <c r="B118" s="25" t="str">
        <f>HYPERLINK("https://www.compass.com/listing/109-08-178th-street-queens-ny-11433/983258291727703449/view?agent_id=610d3f3370540700019b0833","109-08 178th Street")</f>
        <v>109-08 178th Street</v>
      </c>
      <c r="C118" s="26" t="s">
        <v>35</v>
      </c>
      <c r="D118" s="27" t="s">
        <v>23</v>
      </c>
      <c r="E118" s="28" t="str">
        <f>HYPERLINK("https://www.compass.com/building/109-08-178th-st-queens-ny-11433/293531391478540437/","109-08 178th St")</f>
        <v>109-08 178th St</v>
      </c>
      <c r="F118" s="26" t="s">
        <v>24</v>
      </c>
      <c r="G118" s="29">
        <v>720000.0</v>
      </c>
      <c r="H118" s="29">
        <v>554.0</v>
      </c>
      <c r="I118" s="29">
        <v>454.0</v>
      </c>
      <c r="J118" s="29">
        <v>5444.0</v>
      </c>
      <c r="K118" s="26" t="s">
        <v>32</v>
      </c>
      <c r="L118" s="27">
        <v>7.0</v>
      </c>
      <c r="M118" s="27">
        <v>3.0</v>
      </c>
      <c r="N118" s="27">
        <v>1.0</v>
      </c>
      <c r="O118" s="30"/>
      <c r="P118" s="31">
        <v>1300.0</v>
      </c>
      <c r="Q118" s="32">
        <v>17.0</v>
      </c>
      <c r="R118" s="33">
        <v>45822.0</v>
      </c>
      <c r="S118" s="33">
        <v>44608.0</v>
      </c>
      <c r="T118" s="29">
        <v>720000.0</v>
      </c>
      <c r="U118" s="33">
        <v>44743.0</v>
      </c>
      <c r="V118" s="1"/>
    </row>
    <row r="119" ht="24.0" customHeight="1">
      <c r="A119" s="1"/>
      <c r="B119" s="25" t="str">
        <f>HYPERLINK("https://www.compass.com/listing/110-16-172nd-street-queens-ny-11433/399313149567214657/view?agent_id=610d3f3370540700019b0833","110-16 172nd Street")</f>
        <v>110-16 172nd Street</v>
      </c>
      <c r="C119" s="26" t="s">
        <v>35</v>
      </c>
      <c r="D119" s="27" t="s">
        <v>23</v>
      </c>
      <c r="E119" s="28" t="str">
        <f>HYPERLINK("https://www.compass.com/building/110-16-172nd-st-queens-ny-11433/293531220745126197/","110-16 172nd St")</f>
        <v>110-16 172nd St</v>
      </c>
      <c r="F119" s="26" t="s">
        <v>24</v>
      </c>
      <c r="G119" s="29">
        <v>470000.0</v>
      </c>
      <c r="H119" s="34"/>
      <c r="I119" s="29">
        <v>387.0</v>
      </c>
      <c r="J119" s="29">
        <v>4646.0</v>
      </c>
      <c r="K119" s="26" t="s">
        <v>32</v>
      </c>
      <c r="L119" s="27">
        <v>7.0</v>
      </c>
      <c r="M119" s="27">
        <v>3.0</v>
      </c>
      <c r="N119" s="27">
        <v>1.0</v>
      </c>
      <c r="O119" s="30"/>
      <c r="P119" s="30"/>
      <c r="Q119" s="32">
        <v>80.0</v>
      </c>
      <c r="R119" s="33">
        <v>45637.0</v>
      </c>
      <c r="S119" s="33">
        <v>43802.0</v>
      </c>
      <c r="T119" s="29">
        <v>470000.0</v>
      </c>
      <c r="U119" s="33">
        <v>44119.0</v>
      </c>
      <c r="V119" s="1"/>
    </row>
    <row r="120" ht="24.0" customHeight="1">
      <c r="A120" s="1"/>
      <c r="B120" s="25" t="str">
        <f>HYPERLINK("https://www.compass.com/listing/168-38-104th-avenue-queens-ny-11433/197776176612209793/view?agent_id=610d3f3370540700019b0833","168-38 104th Avenue")</f>
        <v>168-38 104th Avenue</v>
      </c>
      <c r="C120" s="26" t="s">
        <v>35</v>
      </c>
      <c r="D120" s="27" t="s">
        <v>23</v>
      </c>
      <c r="E120" s="28" t="str">
        <f>HYPERLINK("https://www.compass.com/building/168-38-104th-ave-queens-ny-11433/293417814532854789/","168-38 104th Ave")</f>
        <v>168-38 104th Ave</v>
      </c>
      <c r="F120" s="26" t="s">
        <v>24</v>
      </c>
      <c r="G120" s="29">
        <v>500000.0</v>
      </c>
      <c r="H120" s="34"/>
      <c r="I120" s="29">
        <v>265.0</v>
      </c>
      <c r="J120" s="29">
        <v>3183.0</v>
      </c>
      <c r="K120" s="26" t="s">
        <v>32</v>
      </c>
      <c r="L120" s="27">
        <v>5.0</v>
      </c>
      <c r="M120" s="27">
        <v>3.0</v>
      </c>
      <c r="N120" s="27">
        <v>1.0</v>
      </c>
      <c r="O120" s="30"/>
      <c r="P120" s="30"/>
      <c r="Q120" s="32">
        <v>78.0</v>
      </c>
      <c r="R120" s="33">
        <v>45627.0</v>
      </c>
      <c r="S120" s="33">
        <v>43375.0</v>
      </c>
      <c r="T120" s="29">
        <v>500000.0</v>
      </c>
      <c r="U120" s="33">
        <v>43560.0</v>
      </c>
      <c r="V120" s="1"/>
    </row>
    <row r="121" ht="24.0" customHeight="1">
      <c r="A121" s="1"/>
      <c r="B121" s="25" t="str">
        <f>HYPERLINK("https://www.compass.com/listing/108-12-175th-street-queens-ny-11433/1430516279691822681/view?agent_id=610d3f3370540700019b0833","108-12 175th Street")</f>
        <v>108-12 175th Street</v>
      </c>
      <c r="C121" s="26" t="s">
        <v>35</v>
      </c>
      <c r="D121" s="27" t="s">
        <v>23</v>
      </c>
      <c r="E121" s="28" t="str">
        <f>HYPERLINK("https://www.compass.com/building/108-12-175th-st-queens-ny-11433/293418462183717221/","108-12 175th St")</f>
        <v>108-12 175th St</v>
      </c>
      <c r="F121" s="26" t="s">
        <v>24</v>
      </c>
      <c r="G121" s="29">
        <v>460000.0</v>
      </c>
      <c r="H121" s="34"/>
      <c r="I121" s="29">
        <v>383.0</v>
      </c>
      <c r="J121" s="29">
        <v>4598.0</v>
      </c>
      <c r="K121" s="26" t="s">
        <v>32</v>
      </c>
      <c r="L121" s="27">
        <v>6.0</v>
      </c>
      <c r="M121" s="27">
        <v>3.0</v>
      </c>
      <c r="N121" s="27">
        <v>1.0</v>
      </c>
      <c r="O121" s="30"/>
      <c r="P121" s="30"/>
      <c r="Q121" s="32">
        <v>285.0</v>
      </c>
      <c r="R121" s="33">
        <v>45674.0</v>
      </c>
      <c r="S121" s="33">
        <v>45225.0</v>
      </c>
      <c r="T121" s="29">
        <v>460000.0</v>
      </c>
      <c r="U121" s="33">
        <v>45673.0</v>
      </c>
      <c r="V121" s="1"/>
    </row>
    <row r="122" ht="24.0" customHeight="1">
      <c r="A122" s="1"/>
      <c r="B122" s="25" t="str">
        <f>HYPERLINK("https://www.compass.com/listing/109-14-177th-street-queens-ny-11433/1554000892410423857/view?agent_id=610d3f3370540700019b0833","109-14 177th Street")</f>
        <v>109-14 177th Street</v>
      </c>
      <c r="C122" s="26" t="s">
        <v>35</v>
      </c>
      <c r="D122" s="27" t="s">
        <v>23</v>
      </c>
      <c r="E122" s="28" t="str">
        <f>HYPERLINK("https://www.compass.com/building/109-14-177th-st-queens-ny-11433/293529823706428821/","109-14 177th St")</f>
        <v>109-14 177th St</v>
      </c>
      <c r="F122" s="26" t="s">
        <v>24</v>
      </c>
      <c r="G122" s="29">
        <v>456300.0</v>
      </c>
      <c r="H122" s="34"/>
      <c r="I122" s="29">
        <v>462.0</v>
      </c>
      <c r="J122" s="29">
        <v>5541.0</v>
      </c>
      <c r="K122" s="26" t="s">
        <v>36</v>
      </c>
      <c r="L122" s="27">
        <v>6.0</v>
      </c>
      <c r="M122" s="27">
        <v>3.0</v>
      </c>
      <c r="N122" s="27">
        <v>1.0</v>
      </c>
      <c r="O122" s="30"/>
      <c r="P122" s="30"/>
      <c r="Q122" s="32">
        <v>1.0</v>
      </c>
      <c r="R122" s="33">
        <v>45617.0</v>
      </c>
      <c r="S122" s="33">
        <v>45395.0</v>
      </c>
      <c r="T122" s="29">
        <v>456300.0</v>
      </c>
      <c r="U122" s="33">
        <v>45443.0</v>
      </c>
      <c r="V122" s="1"/>
    </row>
    <row r="123" ht="24.0" customHeight="1">
      <c r="A123" s="1"/>
      <c r="B123" s="25" t="str">
        <f>HYPERLINK("https://www.compass.com/listing/111-26-174th-street-queens-ny-11433/867543072880255457/view?agent_id=610d3f3370540700019b0833","111-26 174th Street")</f>
        <v>111-26 174th Street</v>
      </c>
      <c r="C123" s="26" t="s">
        <v>35</v>
      </c>
      <c r="D123" s="27" t="s">
        <v>23</v>
      </c>
      <c r="E123" s="28" t="str">
        <f>HYPERLINK("https://www.compass.com/building/111-26-174th-st-queens-ny-11433/293530239571714501/","111-26 174th St")</f>
        <v>111-26 174th St</v>
      </c>
      <c r="F123" s="26" t="s">
        <v>24</v>
      </c>
      <c r="G123" s="29">
        <v>585000.0</v>
      </c>
      <c r="H123" s="34"/>
      <c r="I123" s="29">
        <v>447.0</v>
      </c>
      <c r="J123" s="29">
        <v>5365.0</v>
      </c>
      <c r="K123" s="26" t="s">
        <v>32</v>
      </c>
      <c r="L123" s="27">
        <v>6.0</v>
      </c>
      <c r="M123" s="27">
        <v>3.0</v>
      </c>
      <c r="N123" s="27">
        <v>1.0</v>
      </c>
      <c r="O123" s="30"/>
      <c r="P123" s="30"/>
      <c r="Q123" s="32">
        <v>217.0</v>
      </c>
      <c r="R123" s="33">
        <v>45617.0</v>
      </c>
      <c r="S123" s="33">
        <v>44448.0</v>
      </c>
      <c r="T123" s="29">
        <v>585000.0</v>
      </c>
      <c r="U123" s="33">
        <v>44760.0</v>
      </c>
      <c r="V123" s="1"/>
    </row>
    <row r="124" ht="24.0" customHeight="1">
      <c r="A124" s="1"/>
      <c r="B124" s="25" t="str">
        <f>HYPERLINK("https://www.compass.com/listing/107-37-155th-street-queens-ny-11433/1709543455391384305/view?agent_id=610d3f3370540700019b0833","107-37 155th Street")</f>
        <v>107-37 155th Street</v>
      </c>
      <c r="C124" s="26" t="s">
        <v>35</v>
      </c>
      <c r="D124" s="27" t="s">
        <v>23</v>
      </c>
      <c r="E124" s="28" t="str">
        <f>HYPERLINK("https://www.compass.com/building/107-37-155th-st-queens-ny-11433/293532526239041093/","107-37 155th St")</f>
        <v>107-37 155th St</v>
      </c>
      <c r="F124" s="26" t="s">
        <v>24</v>
      </c>
      <c r="G124" s="29">
        <v>635000.0</v>
      </c>
      <c r="H124" s="29">
        <v>706.0</v>
      </c>
      <c r="I124" s="29">
        <v>225.0</v>
      </c>
      <c r="J124" s="29">
        <v>2698.0</v>
      </c>
      <c r="K124" s="26" t="s">
        <v>32</v>
      </c>
      <c r="L124" s="27">
        <v>5.0</v>
      </c>
      <c r="M124" s="27">
        <v>3.0</v>
      </c>
      <c r="N124" s="27">
        <v>1.0</v>
      </c>
      <c r="O124" s="30"/>
      <c r="P124" s="27">
        <v>900.0</v>
      </c>
      <c r="Q124" s="32">
        <v>227.0</v>
      </c>
      <c r="R124" s="33">
        <v>45597.0</v>
      </c>
      <c r="S124" s="33">
        <v>44131.0</v>
      </c>
      <c r="T124" s="29">
        <v>635000.0</v>
      </c>
      <c r="U124" s="33">
        <v>44461.0</v>
      </c>
      <c r="V124" s="1"/>
    </row>
    <row r="125" ht="24.0" customHeight="1">
      <c r="A125" s="1"/>
      <c r="B125" s="25" t="str">
        <f>HYPERLINK("https://www.compass.com/listing/111-32-156th-street-queens-ny-11433/1243592687595697817/view?agent_id=610d3f3370540700019b0833","111-32 156th Street")</f>
        <v>111-32 156th Street</v>
      </c>
      <c r="C125" s="26" t="s">
        <v>35</v>
      </c>
      <c r="D125" s="27" t="s">
        <v>23</v>
      </c>
      <c r="E125" s="28" t="str">
        <f>HYPERLINK("https://www.compass.com/building/111-32-156th-st-queens-ny-11433/293532171157636965/","111-32 156th St")</f>
        <v>111-32 156th St</v>
      </c>
      <c r="F125" s="26" t="s">
        <v>24</v>
      </c>
      <c r="G125" s="29">
        <v>523000.0</v>
      </c>
      <c r="H125" s="29">
        <v>568.0</v>
      </c>
      <c r="I125" s="29">
        <v>271.0</v>
      </c>
      <c r="J125" s="29">
        <v>3255.0</v>
      </c>
      <c r="K125" s="26" t="s">
        <v>32</v>
      </c>
      <c r="L125" s="27">
        <v>6.0</v>
      </c>
      <c r="M125" s="27">
        <v>3.0</v>
      </c>
      <c r="N125" s="27">
        <v>1.0</v>
      </c>
      <c r="O125" s="30"/>
      <c r="P125" s="27">
        <v>920.0</v>
      </c>
      <c r="Q125" s="32">
        <v>82.0</v>
      </c>
      <c r="R125" s="33">
        <v>45849.0</v>
      </c>
      <c r="S125" s="33">
        <v>44967.0</v>
      </c>
      <c r="T125" s="29">
        <v>523000.0</v>
      </c>
      <c r="U125" s="33">
        <v>45100.0</v>
      </c>
      <c r="V125" s="1"/>
    </row>
    <row r="126" ht="24.0" customHeight="1">
      <c r="A126" s="1"/>
      <c r="B126" s="25" t="str">
        <f>HYPERLINK("https://www.compass.com/listing/109-12-178th-street-queens-ny-11433/857134207281571961/view?agent_id=610d3f3370540700019b0833","109-12 178th Street")</f>
        <v>109-12 178th Street</v>
      </c>
      <c r="C126" s="26" t="s">
        <v>35</v>
      </c>
      <c r="D126" s="27" t="s">
        <v>23</v>
      </c>
      <c r="E126" s="28" t="str">
        <f>HYPERLINK("https://www.compass.com/building/109-12-178th-st-queens-ny-11433/293527244771471173/","109-12 178th St")</f>
        <v>109-12 178th St</v>
      </c>
      <c r="F126" s="26" t="s">
        <v>24</v>
      </c>
      <c r="G126" s="29">
        <v>650000.0</v>
      </c>
      <c r="H126" s="29">
        <v>500.0</v>
      </c>
      <c r="I126" s="29">
        <v>478.0</v>
      </c>
      <c r="J126" s="29">
        <v>5739.0</v>
      </c>
      <c r="K126" s="26" t="s">
        <v>32</v>
      </c>
      <c r="L126" s="27">
        <v>7.0</v>
      </c>
      <c r="M126" s="27">
        <v>3.0</v>
      </c>
      <c r="N126" s="27">
        <v>1.0</v>
      </c>
      <c r="O126" s="30"/>
      <c r="P126" s="31">
        <v>1300.0</v>
      </c>
      <c r="Q126" s="32">
        <v>19.0</v>
      </c>
      <c r="R126" s="33">
        <v>45617.0</v>
      </c>
      <c r="S126" s="33">
        <v>44434.0</v>
      </c>
      <c r="T126" s="29">
        <v>650000.0</v>
      </c>
      <c r="U126" s="33">
        <v>44517.0</v>
      </c>
      <c r="V126" s="1"/>
    </row>
    <row r="127" ht="24.0" customHeight="1">
      <c r="A127" s="1"/>
      <c r="B127" s="25" t="str">
        <f>HYPERLINK("https://www.compass.com/listing/109-14-177th-street-queens-ny-11433/1732801703172596209/view?agent_id=610d3f3370540700019b0833","109-14 177th Street")</f>
        <v>109-14 177th Street</v>
      </c>
      <c r="C127" s="26" t="s">
        <v>35</v>
      </c>
      <c r="D127" s="27" t="s">
        <v>23</v>
      </c>
      <c r="E127" s="28" t="str">
        <f>HYPERLINK("https://www.compass.com/building/109-14-177th-st-queens-ny-11433/293529823706428821/","109-14 177th St")</f>
        <v>109-14 177th St</v>
      </c>
      <c r="F127" s="26" t="s">
        <v>24</v>
      </c>
      <c r="G127" s="29">
        <v>705000.0</v>
      </c>
      <c r="H127" s="29">
        <v>588.0</v>
      </c>
      <c r="I127" s="29">
        <v>462.0</v>
      </c>
      <c r="J127" s="29">
        <v>5541.0</v>
      </c>
      <c r="K127" s="26" t="s">
        <v>36</v>
      </c>
      <c r="L127" s="27">
        <v>6.0</v>
      </c>
      <c r="M127" s="27">
        <v>3.0</v>
      </c>
      <c r="N127" s="27">
        <v>1.0</v>
      </c>
      <c r="O127" s="30"/>
      <c r="P127" s="31">
        <v>1200.0</v>
      </c>
      <c r="Q127" s="32">
        <v>30.0</v>
      </c>
      <c r="R127" s="33">
        <v>45847.0</v>
      </c>
      <c r="S127" s="33">
        <v>45643.0</v>
      </c>
      <c r="T127" s="29">
        <v>705000.0</v>
      </c>
      <c r="U127" s="33">
        <v>45728.0</v>
      </c>
      <c r="V127" s="1"/>
    </row>
    <row r="128" ht="24.0" customHeight="1">
      <c r="A128" s="1"/>
      <c r="B128" s="25" t="str">
        <f>HYPERLINK("https://www.compass.com/listing/110-03-178th-street-queens-ny-11433/1394872656673762865/view?agent_id=610d3f3370540700019b0833","110-03 178th Street")</f>
        <v>110-03 178th Street</v>
      </c>
      <c r="C128" s="26" t="s">
        <v>35</v>
      </c>
      <c r="D128" s="27" t="s">
        <v>23</v>
      </c>
      <c r="E128" s="28" t="str">
        <f>HYPERLINK("https://www.compass.com/building/110-03-178th-st-queens-ny-11433/293527528558061909/","110-03 178th St")</f>
        <v>110-03 178th St</v>
      </c>
      <c r="F128" s="26" t="s">
        <v>24</v>
      </c>
      <c r="G128" s="29">
        <v>685000.0</v>
      </c>
      <c r="H128" s="29">
        <v>652.0</v>
      </c>
      <c r="I128" s="29">
        <v>352.0</v>
      </c>
      <c r="J128" s="29">
        <v>4228.0</v>
      </c>
      <c r="K128" s="26" t="s">
        <v>32</v>
      </c>
      <c r="L128" s="27">
        <v>6.0</v>
      </c>
      <c r="M128" s="27">
        <v>3.0</v>
      </c>
      <c r="N128" s="27">
        <v>1.0</v>
      </c>
      <c r="O128" s="30"/>
      <c r="P128" s="31">
        <v>1050.0</v>
      </c>
      <c r="Q128" s="32">
        <v>54.0</v>
      </c>
      <c r="R128" s="33">
        <v>45617.0</v>
      </c>
      <c r="S128" s="33">
        <v>45176.0</v>
      </c>
      <c r="T128" s="29">
        <v>685000.0</v>
      </c>
      <c r="U128" s="33">
        <v>45358.0</v>
      </c>
      <c r="V128" s="1"/>
    </row>
    <row r="129" ht="24.0" customHeight="1">
      <c r="A129" s="1"/>
      <c r="B129" s="25" t="str">
        <f>HYPERLINK("https://www.compass.com/listing/103-48-177th-street-queens-ny-11433/893133347113728473/view?agent_id=610d3f3370540700019b0833","103-48 177th Street")</f>
        <v>103-48 177th Street</v>
      </c>
      <c r="C129" s="26" t="s">
        <v>35</v>
      </c>
      <c r="D129" s="27" t="s">
        <v>23</v>
      </c>
      <c r="E129" s="28" t="str">
        <f>HYPERLINK("https://www.compass.com/building/103-48-177th-st-queens-ny-11433/293532723849558597/","103-48 177th St")</f>
        <v>103-48 177th St</v>
      </c>
      <c r="F129" s="26" t="s">
        <v>24</v>
      </c>
      <c r="G129" s="29">
        <v>630000.0</v>
      </c>
      <c r="H129" s="34"/>
      <c r="I129" s="29">
        <v>0.0</v>
      </c>
      <c r="J129" s="29">
        <v>0.0</v>
      </c>
      <c r="K129" s="26" t="s">
        <v>32</v>
      </c>
      <c r="L129" s="27">
        <v>12.0</v>
      </c>
      <c r="M129" s="27">
        <v>3.0</v>
      </c>
      <c r="N129" s="30"/>
      <c r="O129" s="30"/>
      <c r="P129" s="30"/>
      <c r="Q129" s="32">
        <v>84.0</v>
      </c>
      <c r="R129" s="33">
        <v>44903.0</v>
      </c>
      <c r="S129" s="33">
        <v>44483.0</v>
      </c>
      <c r="T129" s="29">
        <v>630000.0</v>
      </c>
      <c r="U129" s="33">
        <v>44568.0</v>
      </c>
      <c r="V129" s="1"/>
    </row>
    <row r="130" ht="24.0" customHeight="1">
      <c r="A130" s="1"/>
      <c r="B130" s="25" t="str">
        <f>HYPERLINK("https://www.compass.com/listing/109-55-177th-street-queens-ny-11433/1685131405501239777/view?agent_id=610d3f3370540700019b0833","109-55 177th Street")</f>
        <v>109-55 177th Street</v>
      </c>
      <c r="C130" s="26" t="s">
        <v>35</v>
      </c>
      <c r="D130" s="27" t="s">
        <v>23</v>
      </c>
      <c r="E130" s="28" t="str">
        <f>HYPERLINK("https://www.compass.com/building/109-55-177th-st-queens-ny-11433/293529444331599957/","109-55 177th St")</f>
        <v>109-55 177th St</v>
      </c>
      <c r="F130" s="26" t="s">
        <v>24</v>
      </c>
      <c r="G130" s="29">
        <v>750000.0</v>
      </c>
      <c r="H130" s="29">
        <v>577.0</v>
      </c>
      <c r="I130" s="29">
        <v>483.0</v>
      </c>
      <c r="J130" s="29">
        <v>5800.0</v>
      </c>
      <c r="K130" s="26" t="s">
        <v>32</v>
      </c>
      <c r="L130" s="27">
        <v>7.0</v>
      </c>
      <c r="M130" s="27">
        <v>3.0</v>
      </c>
      <c r="N130" s="27">
        <v>1.0</v>
      </c>
      <c r="O130" s="30"/>
      <c r="P130" s="31">
        <v>1300.0</v>
      </c>
      <c r="Q130" s="32">
        <v>46.0</v>
      </c>
      <c r="R130" s="33">
        <v>45777.0</v>
      </c>
      <c r="S130" s="33">
        <v>45576.0</v>
      </c>
      <c r="T130" s="29">
        <v>750000.0</v>
      </c>
      <c r="U130" s="33">
        <v>45777.0</v>
      </c>
      <c r="V130" s="1"/>
    </row>
    <row r="131" ht="24.0" customHeight="1">
      <c r="A131" s="1"/>
      <c r="B131" s="25" t="str">
        <f>HYPERLINK("https://www.compass.com/listing/167-38-109th-road-queens-ny-11433/1525715572022814849/view?agent_id=610d3f3370540700019b0833","167-38 109th Road")</f>
        <v>167-38 109th Road</v>
      </c>
      <c r="C131" s="26" t="s">
        <v>35</v>
      </c>
      <c r="D131" s="27" t="s">
        <v>23</v>
      </c>
      <c r="E131" s="28" t="str">
        <f>HYPERLINK("https://www.compass.com/building/167-38-109th-rd-queens-ny-11433/293534159358432069/","167-38 109th Rd")</f>
        <v>167-38 109th Rd</v>
      </c>
      <c r="F131" s="26" t="s">
        <v>24</v>
      </c>
      <c r="G131" s="29">
        <v>514216.0</v>
      </c>
      <c r="H131" s="34"/>
      <c r="I131" s="29">
        <v>309.0</v>
      </c>
      <c r="J131" s="29">
        <v>3712.0</v>
      </c>
      <c r="K131" s="26" t="s">
        <v>32</v>
      </c>
      <c r="L131" s="27">
        <v>7.0</v>
      </c>
      <c r="M131" s="27">
        <v>3.0</v>
      </c>
      <c r="N131" s="27">
        <v>1.0</v>
      </c>
      <c r="O131" s="30"/>
      <c r="P131" s="30"/>
      <c r="Q131" s="32">
        <v>21.0</v>
      </c>
      <c r="R131" s="33">
        <v>45617.0</v>
      </c>
      <c r="S131" s="33">
        <v>45356.0</v>
      </c>
      <c r="T131" s="29">
        <v>514216.0</v>
      </c>
      <c r="U131" s="33">
        <v>45398.0</v>
      </c>
      <c r="V131" s="1"/>
    </row>
    <row r="132" ht="24.0" customHeight="1">
      <c r="A132" s="1"/>
      <c r="B132" s="25" t="str">
        <f>HYPERLINK("https://www.compass.com/listing/110-19-157th-street-queens-ny-11433/1029418650216601121/view?agent_id=610d3f3370540700019b0833","110-19 157th St")</f>
        <v>110-19 157th St</v>
      </c>
      <c r="C132" s="26" t="s">
        <v>35</v>
      </c>
      <c r="D132" s="27" t="s">
        <v>23</v>
      </c>
      <c r="E132" s="28" t="str">
        <f>HYPERLINK("https://www.compass.com/building/110-19-157th-st-queens-ny-11433/293532590319645237/","110-19 157th St")</f>
        <v>110-19 157th St</v>
      </c>
      <c r="F132" s="26" t="s">
        <v>24</v>
      </c>
      <c r="G132" s="29">
        <v>565000.0</v>
      </c>
      <c r="H132" s="29">
        <v>551.0</v>
      </c>
      <c r="I132" s="29">
        <v>262.0</v>
      </c>
      <c r="J132" s="29">
        <v>3147.0</v>
      </c>
      <c r="K132" s="26" t="s">
        <v>39</v>
      </c>
      <c r="L132" s="30"/>
      <c r="M132" s="27">
        <v>3.0</v>
      </c>
      <c r="N132" s="27">
        <v>1.0</v>
      </c>
      <c r="O132" s="30"/>
      <c r="P132" s="31">
        <v>1026.0</v>
      </c>
      <c r="Q132" s="48"/>
      <c r="R132" s="35"/>
      <c r="S132" s="35"/>
      <c r="T132" s="29">
        <v>565000.0</v>
      </c>
      <c r="U132" s="33">
        <v>44631.0</v>
      </c>
      <c r="V132" s="1"/>
    </row>
    <row r="133" ht="24.0" customHeight="1">
      <c r="A133" s="1"/>
      <c r="B133" s="25" t="str">
        <f>HYPERLINK("https://www.compass.com/listing/150-19-113th-avenue-queens-ny-11433/1299776632858977977/view?agent_id=610d3f3370540700019b0833","150-19 113th Avenue")</f>
        <v>150-19 113th Avenue</v>
      </c>
      <c r="C133" s="26" t="s">
        <v>35</v>
      </c>
      <c r="D133" s="27" t="s">
        <v>23</v>
      </c>
      <c r="E133" s="28" t="str">
        <f>HYPERLINK("https://www.compass.com/building/150-19-113th-ave-queens-ny-11433/293534624884284581/","150-19 113th Ave")</f>
        <v>150-19 113th Ave</v>
      </c>
      <c r="F133" s="26" t="s">
        <v>24</v>
      </c>
      <c r="G133" s="29">
        <v>500000.0</v>
      </c>
      <c r="H133" s="34"/>
      <c r="I133" s="29">
        <v>0.0</v>
      </c>
      <c r="J133" s="29">
        <v>0.0</v>
      </c>
      <c r="K133" s="26" t="s">
        <v>41</v>
      </c>
      <c r="L133" s="27">
        <v>8.0</v>
      </c>
      <c r="M133" s="27">
        <v>3.0</v>
      </c>
      <c r="N133" s="30"/>
      <c r="O133" s="30"/>
      <c r="P133" s="30"/>
      <c r="Q133" s="32">
        <v>121.0</v>
      </c>
      <c r="R133" s="33">
        <v>45045.0</v>
      </c>
      <c r="S133" s="33">
        <v>45044.0</v>
      </c>
      <c r="T133" s="29">
        <v>500000.0</v>
      </c>
      <c r="U133" s="33">
        <v>45166.0</v>
      </c>
      <c r="V133" s="1"/>
    </row>
    <row r="134" ht="24.0" customHeight="1">
      <c r="A134" s="1"/>
      <c r="B134" s="25" t="str">
        <f>HYPERLINK("https://www.compass.com/listing/107-45-157th-street-queens-ny-11433/852644022940469049/view?agent_id=610d3f3370540700019b0833","107-45 157th Street")</f>
        <v>107-45 157th Street</v>
      </c>
      <c r="C134" s="26" t="s">
        <v>35</v>
      </c>
      <c r="D134" s="27" t="s">
        <v>23</v>
      </c>
      <c r="E134" s="28" t="str">
        <f>HYPERLINK("https://www.compass.com/building/107-45-157th-st-queens-ny-11433/293528941845636965/","107-45 157th St")</f>
        <v>107-45 157th St</v>
      </c>
      <c r="F134" s="26" t="s">
        <v>24</v>
      </c>
      <c r="G134" s="29">
        <v>620000.0</v>
      </c>
      <c r="H134" s="29">
        <v>339.0</v>
      </c>
      <c r="I134" s="29">
        <v>0.0</v>
      </c>
      <c r="J134" s="29">
        <v>0.0</v>
      </c>
      <c r="K134" s="26" t="s">
        <v>32</v>
      </c>
      <c r="L134" s="27">
        <v>12.0</v>
      </c>
      <c r="M134" s="27">
        <v>3.0</v>
      </c>
      <c r="N134" s="30"/>
      <c r="O134" s="30"/>
      <c r="P134" s="31">
        <v>1830.0</v>
      </c>
      <c r="Q134" s="32">
        <v>63.0</v>
      </c>
      <c r="R134" s="33">
        <v>44904.0</v>
      </c>
      <c r="S134" s="33">
        <v>44427.0</v>
      </c>
      <c r="T134" s="29">
        <v>620000.0</v>
      </c>
      <c r="U134" s="33">
        <v>44491.0</v>
      </c>
      <c r="V134" s="1"/>
    </row>
    <row r="135" ht="24.0" customHeight="1">
      <c r="A135" s="1"/>
      <c r="B135" s="25" t="str">
        <f>HYPERLINK("https://www.compass.com/listing/169-10-111th-avenue-queens-ny-11433/1292118564176476081/view?agent_id=610d3f3370540700019b0833","169-10 111th Avenue")</f>
        <v>169-10 111th Avenue</v>
      </c>
      <c r="C135" s="26" t="s">
        <v>35</v>
      </c>
      <c r="D135" s="27" t="s">
        <v>23</v>
      </c>
      <c r="E135" s="28" t="str">
        <f>HYPERLINK("https://www.compass.com/building/169-10-111th-ave-queens-ny-11433/293529190651724517/","169-10 111th Ave")</f>
        <v>169-10 111th Ave</v>
      </c>
      <c r="F135" s="26" t="s">
        <v>24</v>
      </c>
      <c r="G135" s="29">
        <v>585000.0</v>
      </c>
      <c r="H135" s="29">
        <v>475.0</v>
      </c>
      <c r="I135" s="29">
        <v>294.0</v>
      </c>
      <c r="J135" s="29">
        <v>3531.0</v>
      </c>
      <c r="K135" s="26" t="s">
        <v>32</v>
      </c>
      <c r="L135" s="27">
        <v>6.0</v>
      </c>
      <c r="M135" s="27">
        <v>3.0</v>
      </c>
      <c r="N135" s="27">
        <v>1.0</v>
      </c>
      <c r="O135" s="30"/>
      <c r="P135" s="31">
        <v>1232.0</v>
      </c>
      <c r="Q135" s="32">
        <v>5.0</v>
      </c>
      <c r="R135" s="33">
        <v>45612.0</v>
      </c>
      <c r="S135" s="33">
        <v>45034.0</v>
      </c>
      <c r="T135" s="29">
        <v>585000.0</v>
      </c>
      <c r="U135" s="33">
        <v>45105.0</v>
      </c>
      <c r="V135" s="1"/>
    </row>
    <row r="136" ht="24.0" customHeight="1">
      <c r="A136" s="1"/>
      <c r="B136" s="25" t="str">
        <f>HYPERLINK("https://www.compass.com/listing/103-16-168th-place-queens-ny-11433/1679010104573532073/view?agent_id=610d3f3370540700019b0833","103-16 168th Pl")</f>
        <v>103-16 168th Pl</v>
      </c>
      <c r="C136" s="26" t="s">
        <v>35</v>
      </c>
      <c r="D136" s="27" t="s">
        <v>23</v>
      </c>
      <c r="E136" s="28" t="str">
        <f>HYPERLINK("https://www.compass.com/building/103-16-168th-pl-queens-ny-11433/293531160506637829/","103-16 168th Pl")</f>
        <v>103-16 168th Pl</v>
      </c>
      <c r="F136" s="26" t="s">
        <v>24</v>
      </c>
      <c r="G136" s="29">
        <v>660000.0</v>
      </c>
      <c r="H136" s="29">
        <v>688.0</v>
      </c>
      <c r="I136" s="29">
        <v>208.0</v>
      </c>
      <c r="J136" s="29">
        <v>2496.0</v>
      </c>
      <c r="K136" s="26" t="s">
        <v>39</v>
      </c>
      <c r="L136" s="30"/>
      <c r="M136" s="27">
        <v>3.0</v>
      </c>
      <c r="N136" s="27">
        <v>1.0</v>
      </c>
      <c r="O136" s="30"/>
      <c r="P136" s="27">
        <v>960.0</v>
      </c>
      <c r="Q136" s="48"/>
      <c r="R136" s="35"/>
      <c r="S136" s="35"/>
      <c r="T136" s="29">
        <v>660000.0</v>
      </c>
      <c r="U136" s="33">
        <v>45562.0</v>
      </c>
      <c r="V136" s="1"/>
    </row>
    <row r="137" ht="24.0" customHeight="1">
      <c r="A137" s="1"/>
      <c r="B137" s="25" t="str">
        <f>HYPERLINK("https://www.compass.com/listing/104-23-165th-street-queens-ny-11433/1384350591651327545/view?agent_id=610d3f3370540700019b0833","104-23 165th Street")</f>
        <v>104-23 165th Street</v>
      </c>
      <c r="C137" s="26" t="s">
        <v>35</v>
      </c>
      <c r="D137" s="27" t="s">
        <v>23</v>
      </c>
      <c r="E137" s="28" t="str">
        <f>HYPERLINK("https://www.compass.com/building/104-23-165th-st-queens-ny-11433/293533893968063349/","104-23 165th St")</f>
        <v>104-23 165th St</v>
      </c>
      <c r="F137" s="26" t="s">
        <v>24</v>
      </c>
      <c r="G137" s="29">
        <v>650000.0</v>
      </c>
      <c r="H137" s="29">
        <v>494.0</v>
      </c>
      <c r="I137" s="29">
        <v>417.0</v>
      </c>
      <c r="J137" s="29">
        <v>5000.0</v>
      </c>
      <c r="K137" s="26" t="s">
        <v>25</v>
      </c>
      <c r="L137" s="27">
        <v>6.0</v>
      </c>
      <c r="M137" s="27">
        <v>3.0</v>
      </c>
      <c r="N137" s="27">
        <v>1.0</v>
      </c>
      <c r="O137" s="30"/>
      <c r="P137" s="31">
        <v>1316.0</v>
      </c>
      <c r="Q137" s="32">
        <v>104.0</v>
      </c>
      <c r="R137" s="33">
        <v>45637.0</v>
      </c>
      <c r="S137" s="33">
        <v>45161.0</v>
      </c>
      <c r="T137" s="29">
        <v>650000.0</v>
      </c>
      <c r="U137" s="33">
        <v>45636.0</v>
      </c>
      <c r="V137" s="1"/>
    </row>
    <row r="138" ht="24.0" customHeight="1">
      <c r="A138" s="1"/>
      <c r="B138" s="25" t="str">
        <f>HYPERLINK("https://www.compass.com/listing/110-41-172nd-street-queens-ny-11433/1458965053171058289/view?agent_id=610d3f3370540700019b0833","110-41 172nd Street")</f>
        <v>110-41 172nd Street</v>
      </c>
      <c r="C138" s="26" t="s">
        <v>35</v>
      </c>
      <c r="D138" s="27" t="s">
        <v>23</v>
      </c>
      <c r="E138" s="28" t="str">
        <f>HYPERLINK("https://www.compass.com/building/110-41-172nd-st-queens-ny-11433/293526753735973893/","110-41 172nd St")</f>
        <v>110-41 172nd St</v>
      </c>
      <c r="F138" s="26" t="s">
        <v>24</v>
      </c>
      <c r="G138" s="29">
        <v>555000.0</v>
      </c>
      <c r="H138" s="34"/>
      <c r="I138" s="29">
        <v>95.0</v>
      </c>
      <c r="J138" s="29">
        <v>1141.0</v>
      </c>
      <c r="K138" s="26" t="s">
        <v>32</v>
      </c>
      <c r="L138" s="27">
        <v>6.0</v>
      </c>
      <c r="M138" s="27">
        <v>3.0</v>
      </c>
      <c r="N138" s="27">
        <v>1.0</v>
      </c>
      <c r="O138" s="30"/>
      <c r="P138" s="30"/>
      <c r="Q138" s="32">
        <v>2.0</v>
      </c>
      <c r="R138" s="33">
        <v>45617.0</v>
      </c>
      <c r="S138" s="33">
        <v>45264.0</v>
      </c>
      <c r="T138" s="29">
        <v>555000.0</v>
      </c>
      <c r="U138" s="33">
        <v>45287.0</v>
      </c>
      <c r="V138" s="1"/>
    </row>
    <row r="139" ht="24.0" customHeight="1">
      <c r="A139" s="1"/>
      <c r="B139" s="25" t="str">
        <f>HYPERLINK("https://www.compass.com/listing/111-32-155th-street-queens-ny-11433/1298601202063434145/view?agent_id=610d3f3370540700019b0833","111-32 155th Street")</f>
        <v>111-32 155th Street</v>
      </c>
      <c r="C139" s="26" t="s">
        <v>35</v>
      </c>
      <c r="D139" s="27" t="s">
        <v>23</v>
      </c>
      <c r="E139" s="28" t="str">
        <f>HYPERLINK("https://www.compass.com/building/111-32-155th-st-queens-ny-11433/293532849502441397/","111-32 155th St")</f>
        <v>111-32 155th St</v>
      </c>
      <c r="F139" s="26" t="s">
        <v>24</v>
      </c>
      <c r="G139" s="29">
        <v>542000.0</v>
      </c>
      <c r="H139" s="34"/>
      <c r="I139" s="29">
        <v>300.0</v>
      </c>
      <c r="J139" s="29">
        <v>3600.0</v>
      </c>
      <c r="K139" s="26" t="s">
        <v>32</v>
      </c>
      <c r="L139" s="27">
        <v>6.0</v>
      </c>
      <c r="M139" s="27">
        <v>3.0</v>
      </c>
      <c r="N139" s="27">
        <v>1.0</v>
      </c>
      <c r="O139" s="30"/>
      <c r="P139" s="30"/>
      <c r="Q139" s="32">
        <v>35.0</v>
      </c>
      <c r="R139" s="33">
        <v>45617.0</v>
      </c>
      <c r="S139" s="33">
        <v>45043.0</v>
      </c>
      <c r="T139" s="29">
        <v>541000.0</v>
      </c>
      <c r="U139" s="33">
        <v>45230.0</v>
      </c>
      <c r="V139" s="1"/>
    </row>
    <row r="140" ht="24.0" customHeight="1">
      <c r="A140" s="1"/>
      <c r="B140" s="25" t="str">
        <f>HYPERLINK("https://www.compass.com/listing/153-23-arlington-terrace-queens-ny-11433/1864573546948197329/view?agent_id=610d3f3370540700019b0833","153-23 Arlington Ter")</f>
        <v>153-23 Arlington Ter</v>
      </c>
      <c r="C140" s="26" t="s">
        <v>35</v>
      </c>
      <c r="D140" s="27" t="s">
        <v>23</v>
      </c>
      <c r="E140" s="28" t="str">
        <f>HYPERLINK("https://www.compass.com/building/153-23-arlington-ter-queens-ny-11433/293534164190272661/","153-23 Arlington Ter")</f>
        <v>153-23 Arlington Ter</v>
      </c>
      <c r="F140" s="26" t="s">
        <v>24</v>
      </c>
      <c r="G140" s="29">
        <v>615000.0</v>
      </c>
      <c r="H140" s="29">
        <v>419.0</v>
      </c>
      <c r="I140" s="29">
        <v>258.0</v>
      </c>
      <c r="J140" s="29">
        <v>3094.0</v>
      </c>
      <c r="K140" s="26" t="s">
        <v>39</v>
      </c>
      <c r="L140" s="30"/>
      <c r="M140" s="27">
        <v>3.0</v>
      </c>
      <c r="N140" s="27">
        <v>1.0</v>
      </c>
      <c r="O140" s="30"/>
      <c r="P140" s="31">
        <v>1468.0</v>
      </c>
      <c r="Q140" s="48"/>
      <c r="R140" s="35"/>
      <c r="S140" s="35"/>
      <c r="T140" s="29">
        <v>615000.0</v>
      </c>
      <c r="U140" s="33">
        <v>45807.0</v>
      </c>
      <c r="V140" s="1"/>
    </row>
    <row r="141" ht="24.0" customHeight="1">
      <c r="A141" s="1"/>
      <c r="B141" s="25" t="str">
        <f>HYPERLINK("https://www.compass.com/listing/111-30-159th-street-queens-ny-11433/29141312569608785/view?agent_id=610d3f3370540700019b0833","111-30 159th Street")</f>
        <v>111-30 159th Street</v>
      </c>
      <c r="C141" s="26" t="s">
        <v>35</v>
      </c>
      <c r="D141" s="27" t="s">
        <v>23</v>
      </c>
      <c r="E141" s="28" t="str">
        <f>HYPERLINK("https://www.compass.com/building/111-30-159th-st-queens-ny-11433/293530700735364709/","111-30 159th St")</f>
        <v>111-30 159th St</v>
      </c>
      <c r="F141" s="26" t="s">
        <v>24</v>
      </c>
      <c r="G141" s="29">
        <v>505000.0</v>
      </c>
      <c r="H141" s="29">
        <v>405.0</v>
      </c>
      <c r="I141" s="29">
        <v>0.0</v>
      </c>
      <c r="J141" s="29">
        <v>0.0</v>
      </c>
      <c r="K141" s="26" t="s">
        <v>32</v>
      </c>
      <c r="L141" s="27">
        <v>4.0</v>
      </c>
      <c r="M141" s="27">
        <v>3.0</v>
      </c>
      <c r="N141" s="30"/>
      <c r="O141" s="30"/>
      <c r="P141" s="31">
        <v>1248.0</v>
      </c>
      <c r="Q141" s="32">
        <v>92.0</v>
      </c>
      <c r="R141" s="33">
        <v>44719.0</v>
      </c>
      <c r="S141" s="33">
        <v>42849.0</v>
      </c>
      <c r="T141" s="29">
        <v>505000.0</v>
      </c>
      <c r="U141" s="33">
        <v>42942.0</v>
      </c>
      <c r="V141" s="1"/>
    </row>
    <row r="142" ht="24.0" customHeight="1">
      <c r="A142" s="1"/>
      <c r="B142" s="25" t="str">
        <f>HYPERLINK("https://www.compass.com/listing/170-07-105th-avenue-queens-ny-11433/1174848415283427577/view?agent_id=610d3f3370540700019b0833","170-07 105th Avenue")</f>
        <v>170-07 105th Avenue</v>
      </c>
      <c r="C142" s="26" t="s">
        <v>35</v>
      </c>
      <c r="D142" s="27" t="s">
        <v>23</v>
      </c>
      <c r="E142" s="28" t="str">
        <f>HYPERLINK("https://www.compass.com/building/170-07-105th-ave-queens-ny-11433/293534170020356741/","170-07 105th Ave")</f>
        <v>170-07 105th Ave</v>
      </c>
      <c r="F142" s="26" t="s">
        <v>24</v>
      </c>
      <c r="G142" s="29">
        <v>650000.0</v>
      </c>
      <c r="H142" s="34"/>
      <c r="I142" s="29">
        <v>406.0</v>
      </c>
      <c r="J142" s="29">
        <v>4876.0</v>
      </c>
      <c r="K142" s="26" t="s">
        <v>36</v>
      </c>
      <c r="L142" s="27">
        <v>7.0</v>
      </c>
      <c r="M142" s="27">
        <v>3.0</v>
      </c>
      <c r="N142" s="27">
        <v>1.0</v>
      </c>
      <c r="O142" s="27">
        <v>1.0</v>
      </c>
      <c r="P142" s="30"/>
      <c r="Q142" s="32">
        <v>259.0</v>
      </c>
      <c r="R142" s="33">
        <v>45823.0</v>
      </c>
      <c r="S142" s="33">
        <v>44872.0</v>
      </c>
      <c r="T142" s="29">
        <v>650000.0</v>
      </c>
      <c r="U142" s="33">
        <v>45132.0</v>
      </c>
      <c r="V142" s="1"/>
    </row>
    <row r="143" ht="24.0" customHeight="1">
      <c r="A143" s="1"/>
      <c r="B143" s="25" t="str">
        <f>HYPERLINK("https://www.compass.com/listing/90-56-179th-street-queens-ny-11432/1556400997571320081/view?agent_id=610d3f3370540700019b0833","90-56 179th Street")</f>
        <v>90-56 179th Street</v>
      </c>
      <c r="C143" s="26" t="s">
        <v>35</v>
      </c>
      <c r="D143" s="27" t="s">
        <v>23</v>
      </c>
      <c r="E143" s="28" t="str">
        <f>HYPERLINK("https://www.compass.com/building/90-56-179th-st-queens-ny-11432/293532820477844549/","90-56 179th St")</f>
        <v>90-56 179th St</v>
      </c>
      <c r="F143" s="26" t="s">
        <v>24</v>
      </c>
      <c r="G143" s="29">
        <v>270000.0</v>
      </c>
      <c r="H143" s="29">
        <v>195.0</v>
      </c>
      <c r="I143" s="29">
        <v>271.0</v>
      </c>
      <c r="J143" s="29">
        <v>3255.0</v>
      </c>
      <c r="K143" s="26" t="s">
        <v>32</v>
      </c>
      <c r="L143" s="27">
        <v>7.0</v>
      </c>
      <c r="M143" s="27">
        <v>3.0</v>
      </c>
      <c r="N143" s="27">
        <v>1.0</v>
      </c>
      <c r="O143" s="30"/>
      <c r="P143" s="31">
        <v>1388.0</v>
      </c>
      <c r="Q143" s="32">
        <v>30.0</v>
      </c>
      <c r="R143" s="33">
        <v>45597.0</v>
      </c>
      <c r="S143" s="33">
        <v>41062.0</v>
      </c>
      <c r="T143" s="29">
        <v>270000.0</v>
      </c>
      <c r="U143" s="33">
        <v>41122.0</v>
      </c>
      <c r="V143" s="1"/>
    </row>
    <row r="144" ht="24.0" customHeight="1">
      <c r="A144" s="1"/>
      <c r="B144" s="25" t="str">
        <f>HYPERLINK("https://www.compass.com/listing/172-24-89th-avenue-queens-ny-11432/29129244734986673/view?agent_id=610d3f3370540700019b0833","172-24 89th Avenue")</f>
        <v>172-24 89th Avenue</v>
      </c>
      <c r="C144" s="26" t="s">
        <v>35</v>
      </c>
      <c r="D144" s="27" t="s">
        <v>23</v>
      </c>
      <c r="E144" s="28" t="str">
        <f>HYPERLINK("https://www.compass.com/building/172-24-89th-ave-queens-ny-11432/293531200763582981/","172-24 89th Ave")</f>
        <v>172-24 89th Ave</v>
      </c>
      <c r="F144" s="26" t="s">
        <v>45</v>
      </c>
      <c r="G144" s="29">
        <v>461000.0</v>
      </c>
      <c r="H144" s="29">
        <v>360.0</v>
      </c>
      <c r="I144" s="29">
        <v>278.0</v>
      </c>
      <c r="J144" s="29">
        <v>3334.0</v>
      </c>
      <c r="K144" s="26" t="s">
        <v>32</v>
      </c>
      <c r="L144" s="27">
        <v>7.0</v>
      </c>
      <c r="M144" s="27">
        <v>3.0</v>
      </c>
      <c r="N144" s="27">
        <v>1.0</v>
      </c>
      <c r="O144" s="30"/>
      <c r="P144" s="31">
        <v>1280.0</v>
      </c>
      <c r="Q144" s="32">
        <v>32.0</v>
      </c>
      <c r="R144" s="33">
        <v>45626.0</v>
      </c>
      <c r="S144" s="33">
        <v>42887.0</v>
      </c>
      <c r="T144" s="29">
        <v>461000.0</v>
      </c>
      <c r="U144" s="33">
        <v>42976.0</v>
      </c>
      <c r="V144" s="1"/>
    </row>
    <row r="145" ht="24.0" customHeight="1">
      <c r="A145" s="1"/>
      <c r="B145" s="25" t="str">
        <f>HYPERLINK("https://www.compass.com/listing/181-10-93rd-avenue-queens-ny-11423/1831297282118903017/view?agent_id=610d3f3370540700019b0833","181-10 93rd Avenue")</f>
        <v>181-10 93rd Avenue</v>
      </c>
      <c r="C145" s="26" t="s">
        <v>35</v>
      </c>
      <c r="D145" s="27" t="s">
        <v>23</v>
      </c>
      <c r="E145" s="28" t="str">
        <f>HYPERLINK("https://www.compass.com/building/181-10-93rd-ave-queens-ny-11423/293526270912791013/","181-10 93rd Ave")</f>
        <v>181-10 93rd Ave</v>
      </c>
      <c r="F145" s="26" t="s">
        <v>30</v>
      </c>
      <c r="G145" s="29">
        <v>585000.0</v>
      </c>
      <c r="H145" s="29">
        <v>425.0</v>
      </c>
      <c r="I145" s="29">
        <v>317.0</v>
      </c>
      <c r="J145" s="29">
        <v>3799.0</v>
      </c>
      <c r="K145" s="26" t="s">
        <v>32</v>
      </c>
      <c r="L145" s="27">
        <v>6.0</v>
      </c>
      <c r="M145" s="27">
        <v>3.0</v>
      </c>
      <c r="N145" s="27">
        <v>1.0</v>
      </c>
      <c r="O145" s="30"/>
      <c r="P145" s="31">
        <v>1376.0</v>
      </c>
      <c r="Q145" s="32">
        <v>68.0</v>
      </c>
      <c r="R145" s="33">
        <v>45854.0</v>
      </c>
      <c r="S145" s="33">
        <v>45778.0</v>
      </c>
      <c r="T145" s="29">
        <v>585000.0</v>
      </c>
      <c r="U145" s="33">
        <v>45854.0</v>
      </c>
      <c r="V145" s="1"/>
    </row>
    <row r="146" ht="24.0" customHeight="1">
      <c r="A146" s="1"/>
      <c r="B146" s="25" t="str">
        <f>HYPERLINK("https://www.compass.com/listing/89-04-172nd-street-queens-ny-11432/1730724244855112593/view?agent_id=610d3f3370540700019b0833","89-04 172nd Street")</f>
        <v>89-04 172nd Street</v>
      </c>
      <c r="C146" s="26" t="s">
        <v>35</v>
      </c>
      <c r="D146" s="27" t="s">
        <v>23</v>
      </c>
      <c r="E146" s="28" t="str">
        <f t="shared" ref="E146:E147" si="7">HYPERLINK("https://www.compass.com/building/89-04-172nd-st-queens-ny-11432/293531478351005813/","89-04 172nd St")</f>
        <v>89-04 172nd St</v>
      </c>
      <c r="F146" s="26" t="s">
        <v>24</v>
      </c>
      <c r="G146" s="29">
        <v>466440.0</v>
      </c>
      <c r="H146" s="29">
        <v>315.0</v>
      </c>
      <c r="I146" s="29">
        <v>335.0</v>
      </c>
      <c r="J146" s="29">
        <v>4019.0</v>
      </c>
      <c r="K146" s="26" t="s">
        <v>32</v>
      </c>
      <c r="L146" s="27">
        <v>6.0</v>
      </c>
      <c r="M146" s="27">
        <v>3.0</v>
      </c>
      <c r="N146" s="27">
        <v>1.0</v>
      </c>
      <c r="O146" s="27">
        <v>0.0</v>
      </c>
      <c r="P146" s="31">
        <v>1480.0</v>
      </c>
      <c r="Q146" s="32">
        <v>58.0</v>
      </c>
      <c r="R146" s="33">
        <v>45617.0</v>
      </c>
      <c r="S146" s="33">
        <v>42408.0</v>
      </c>
      <c r="T146" s="29">
        <v>466440.0</v>
      </c>
      <c r="U146" s="33">
        <v>42550.0</v>
      </c>
      <c r="V146" s="1"/>
    </row>
    <row r="147" ht="24.0" customHeight="1">
      <c r="A147" s="1"/>
      <c r="B147" s="25" t="str">
        <f>HYPERLINK("https://www.compass.com/listing/89-04-172nd-street-queens-ny-11432/197754339614264657/view?agent_id=610d3f3370540700019b0833","89-04 172nd Street")</f>
        <v>89-04 172nd Street</v>
      </c>
      <c r="C147" s="26" t="s">
        <v>35</v>
      </c>
      <c r="D147" s="27" t="s">
        <v>23</v>
      </c>
      <c r="E147" s="28" t="str">
        <f t="shared" si="7"/>
        <v>89-04 172nd St</v>
      </c>
      <c r="F147" s="26" t="s">
        <v>24</v>
      </c>
      <c r="G147" s="29">
        <v>466440.0</v>
      </c>
      <c r="H147" s="29">
        <v>315.0</v>
      </c>
      <c r="I147" s="29">
        <v>335.0</v>
      </c>
      <c r="J147" s="29">
        <v>4019.0</v>
      </c>
      <c r="K147" s="26" t="s">
        <v>32</v>
      </c>
      <c r="L147" s="27">
        <v>6.0</v>
      </c>
      <c r="M147" s="27">
        <v>3.0</v>
      </c>
      <c r="N147" s="27">
        <v>1.0</v>
      </c>
      <c r="O147" s="30"/>
      <c r="P147" s="31">
        <v>1480.0</v>
      </c>
      <c r="Q147" s="32">
        <v>87.0</v>
      </c>
      <c r="R147" s="33">
        <v>45634.0</v>
      </c>
      <c r="S147" s="33">
        <v>42408.0</v>
      </c>
      <c r="T147" s="29">
        <v>466440.0</v>
      </c>
      <c r="U147" s="33">
        <v>42550.0</v>
      </c>
      <c r="V147" s="1"/>
    </row>
    <row r="148" ht="24.0" customHeight="1">
      <c r="A148" s="1"/>
      <c r="B148" s="25" t="str">
        <f>HYPERLINK("https://www.compass.com/listing/108-29-160th-street-unit-26c-queens-ny-11433/173818362839751425/view?agent_id=610d3f3370540700019b0833","108-29 160th Street, Unit 26C")</f>
        <v>108-29 160th Street, Unit 26C</v>
      </c>
      <c r="C148" s="26" t="s">
        <v>35</v>
      </c>
      <c r="D148" s="27" t="s">
        <v>23</v>
      </c>
      <c r="E148" s="28" t="str">
        <f>HYPERLINK("https://www.compass.com/building/108-29-160th-st-queens-ny-11433/307446599869206117/","108-29 160th St")</f>
        <v>108-29 160th St</v>
      </c>
      <c r="F148" s="26" t="s">
        <v>46</v>
      </c>
      <c r="G148" s="29">
        <v>310000.0</v>
      </c>
      <c r="H148" s="29">
        <v>337.0</v>
      </c>
      <c r="I148" s="29">
        <v>194.0</v>
      </c>
      <c r="J148" s="29">
        <v>2332.0</v>
      </c>
      <c r="K148" s="26" t="s">
        <v>31</v>
      </c>
      <c r="L148" s="27">
        <v>5.0</v>
      </c>
      <c r="M148" s="27">
        <v>3.0</v>
      </c>
      <c r="N148" s="27">
        <v>1.0</v>
      </c>
      <c r="O148" s="30"/>
      <c r="P148" s="27">
        <v>920.0</v>
      </c>
      <c r="Q148" s="32">
        <v>28.0</v>
      </c>
      <c r="R148" s="33">
        <v>45627.0</v>
      </c>
      <c r="S148" s="33">
        <v>43354.0</v>
      </c>
      <c r="T148" s="29">
        <v>310000.0</v>
      </c>
      <c r="U148" s="33">
        <v>43452.0</v>
      </c>
      <c r="V148" s="1"/>
    </row>
    <row r="149" ht="24.0" customHeight="1">
      <c r="A149" s="1"/>
      <c r="B149" s="25" t="str">
        <f>HYPERLINK("https://www.compass.com/listing/108-23-160th-street-unit-23b-queens-ny-11433/1223389236413928473/view?agent_id=610d3f3370540700019b0833","108-23 160th Street, Unit 23B")</f>
        <v>108-23 160th Street, Unit 23B</v>
      </c>
      <c r="C149" s="26" t="s">
        <v>35</v>
      </c>
      <c r="D149" s="27" t="s">
        <v>23</v>
      </c>
      <c r="E149" s="27" t="s">
        <v>47</v>
      </c>
      <c r="F149" s="26" t="s">
        <v>46</v>
      </c>
      <c r="G149" s="29">
        <v>415000.0</v>
      </c>
      <c r="H149" s="34"/>
      <c r="I149" s="29">
        <v>541.0</v>
      </c>
      <c r="J149" s="29">
        <v>2975.0</v>
      </c>
      <c r="K149" s="26" t="s">
        <v>48</v>
      </c>
      <c r="L149" s="27">
        <v>6.0</v>
      </c>
      <c r="M149" s="27">
        <v>3.0</v>
      </c>
      <c r="N149" s="27">
        <v>1.0</v>
      </c>
      <c r="O149" s="30"/>
      <c r="P149" s="30"/>
      <c r="Q149" s="32">
        <v>46.0</v>
      </c>
      <c r="R149" s="33">
        <v>45617.0</v>
      </c>
      <c r="S149" s="33">
        <v>44939.0</v>
      </c>
      <c r="T149" s="29">
        <v>415000.0</v>
      </c>
      <c r="U149" s="33">
        <v>45044.0</v>
      </c>
      <c r="V149" s="1"/>
    </row>
    <row r="150" ht="24.0" customHeight="1">
      <c r="A150" s="1"/>
      <c r="B150" s="25" t="str">
        <f>HYPERLINK("https://www.compass.com/listing/108-05-160th-street-queens-ny-11433/29130879716648721/view?agent_id=610d3f3370540700019b0833","108-05 160th Street")</f>
        <v>108-05 160th Street</v>
      </c>
      <c r="C150" s="26" t="s">
        <v>35</v>
      </c>
      <c r="D150" s="27" t="s">
        <v>23</v>
      </c>
      <c r="E150" s="28" t="str">
        <f>HYPERLINK("https://www.compass.com/building/108-05-160th-st-queens-ny-11433/293528240440528213/","108-05 160th St")</f>
        <v>108-05 160th St</v>
      </c>
      <c r="F150" s="26" t="s">
        <v>46</v>
      </c>
      <c r="G150" s="29">
        <v>429000.0</v>
      </c>
      <c r="H150" s="34"/>
      <c r="I150" s="29">
        <v>205.0</v>
      </c>
      <c r="J150" s="29">
        <v>2461.0</v>
      </c>
      <c r="K150" s="26" t="s">
        <v>32</v>
      </c>
      <c r="L150" s="27">
        <v>7.0</v>
      </c>
      <c r="M150" s="27">
        <v>3.0</v>
      </c>
      <c r="N150" s="27">
        <v>1.0</v>
      </c>
      <c r="O150" s="30"/>
      <c r="P150" s="30"/>
      <c r="Q150" s="32">
        <v>38.0</v>
      </c>
      <c r="R150" s="33">
        <v>45626.0</v>
      </c>
      <c r="S150" s="33">
        <v>42951.0</v>
      </c>
      <c r="T150" s="29">
        <v>429000.0</v>
      </c>
      <c r="U150" s="33">
        <v>43019.0</v>
      </c>
      <c r="V150" s="1"/>
    </row>
    <row r="151" ht="24.0" customHeight="1">
      <c r="A151" s="1"/>
      <c r="B151" s="25" t="str">
        <f>HYPERLINK("https://www.compass.com/listing/173-08-warwick-crescent-queens-ny-11432/856400208452406633/view?agent_id=610d3f3370540700019b0833","173-08 Warwick Crescent")</f>
        <v>173-08 Warwick Crescent</v>
      </c>
      <c r="C151" s="26" t="s">
        <v>35</v>
      </c>
      <c r="D151" s="27" t="s">
        <v>23</v>
      </c>
      <c r="E151" s="28" t="str">
        <f>HYPERLINK("https://www.compass.com/building/173-08-warwick-cres-queens-ny-11432/293531838524162421/","173-08 Warwick Cres")</f>
        <v>173-08 Warwick Cres</v>
      </c>
      <c r="F151" s="26" t="s">
        <v>45</v>
      </c>
      <c r="G151" s="29">
        <v>712000.0</v>
      </c>
      <c r="H151" s="29">
        <v>539.0</v>
      </c>
      <c r="I151" s="29">
        <v>448.0</v>
      </c>
      <c r="J151" s="29">
        <v>5376.0</v>
      </c>
      <c r="K151" s="26" t="s">
        <v>32</v>
      </c>
      <c r="L151" s="27">
        <v>6.0</v>
      </c>
      <c r="M151" s="27">
        <v>3.0</v>
      </c>
      <c r="N151" s="27">
        <v>1.0</v>
      </c>
      <c r="O151" s="30"/>
      <c r="P151" s="31">
        <v>1320.0</v>
      </c>
      <c r="Q151" s="32">
        <v>9.0</v>
      </c>
      <c r="R151" s="33">
        <v>45617.0</v>
      </c>
      <c r="S151" s="33">
        <v>44432.0</v>
      </c>
      <c r="T151" s="29">
        <v>712000.0</v>
      </c>
      <c r="U151" s="33">
        <v>44547.0</v>
      </c>
      <c r="V151" s="1"/>
    </row>
    <row r="152" ht="24.0" customHeight="1">
      <c r="A152" s="1"/>
      <c r="B152" s="25" t="str">
        <f>HYPERLINK("https://www.compass.com/listing/88-41-179th-place-queens-ny-11432/1556965368882021609/view?agent_id=610d3f3370540700019b0833","88-41 179th Place")</f>
        <v>88-41 179th Place</v>
      </c>
      <c r="C152" s="26" t="s">
        <v>35</v>
      </c>
      <c r="D152" s="27" t="s">
        <v>23</v>
      </c>
      <c r="E152" s="28" t="str">
        <f>HYPERLINK("https://www.compass.com/building/88-41-179th-pl-queens-ny-11432/293527307862216341/","88-41 179th Pl")</f>
        <v>88-41 179th Pl</v>
      </c>
      <c r="F152" s="26" t="s">
        <v>24</v>
      </c>
      <c r="G152" s="29">
        <v>455000.0</v>
      </c>
      <c r="H152" s="29">
        <v>217.0</v>
      </c>
      <c r="I152" s="29">
        <v>261.0</v>
      </c>
      <c r="J152" s="29">
        <v>3132.0</v>
      </c>
      <c r="K152" s="26" t="s">
        <v>25</v>
      </c>
      <c r="L152" s="27">
        <v>8.0</v>
      </c>
      <c r="M152" s="27">
        <v>3.0</v>
      </c>
      <c r="N152" s="27">
        <v>1.0</v>
      </c>
      <c r="O152" s="30"/>
      <c r="P152" s="31">
        <v>2096.0</v>
      </c>
      <c r="Q152" s="32">
        <v>50.0</v>
      </c>
      <c r="R152" s="33">
        <v>45597.0</v>
      </c>
      <c r="S152" s="33">
        <v>41940.0</v>
      </c>
      <c r="T152" s="29">
        <v>455000.0</v>
      </c>
      <c r="U152" s="33">
        <v>42121.0</v>
      </c>
      <c r="V152" s="1"/>
    </row>
    <row r="153" ht="24.0" customHeight="1">
      <c r="A153" s="1"/>
      <c r="B153" s="25" t="str">
        <f>HYPERLINK("https://www.compass.com/listing/108-27-160th-street-unit-25b-queens-ny-11433/1572081109036711297/view?agent_id=610d3f3370540700019b0833","108-27 160th Street, Unit 25B")</f>
        <v>108-27 160th Street, Unit 25B</v>
      </c>
      <c r="C153" s="26" t="s">
        <v>35</v>
      </c>
      <c r="D153" s="27" t="s">
        <v>23</v>
      </c>
      <c r="E153" s="27" t="s">
        <v>49</v>
      </c>
      <c r="F153" s="26" t="s">
        <v>46</v>
      </c>
      <c r="G153" s="29">
        <v>395000.0</v>
      </c>
      <c r="H153" s="29">
        <v>434.0</v>
      </c>
      <c r="I153" s="29">
        <v>541.0</v>
      </c>
      <c r="J153" s="29">
        <v>2975.0</v>
      </c>
      <c r="K153" s="26" t="s">
        <v>31</v>
      </c>
      <c r="L153" s="27">
        <v>5.0</v>
      </c>
      <c r="M153" s="27">
        <v>3.0</v>
      </c>
      <c r="N153" s="27">
        <v>1.0</v>
      </c>
      <c r="O153" s="30"/>
      <c r="P153" s="27">
        <v>911.0</v>
      </c>
      <c r="Q153" s="32">
        <v>41.0</v>
      </c>
      <c r="R153" s="33">
        <v>45631.0</v>
      </c>
      <c r="S153" s="33">
        <v>45178.0</v>
      </c>
      <c r="T153" s="29">
        <v>395000.0</v>
      </c>
      <c r="U153" s="33">
        <v>45266.0</v>
      </c>
      <c r="V153" s="1"/>
    </row>
    <row r="154" ht="24.0" customHeight="1">
      <c r="A154" s="1"/>
      <c r="B154" s="25" t="str">
        <f>HYPERLINK("https://www.compass.com/listing/175-08-93rd-avenue-queens-ny-11433/197758754916211537/view?agent_id=610d3f3370540700019b0833","175-08 93rd Avenue")</f>
        <v>175-08 93rd Avenue</v>
      </c>
      <c r="C154" s="26" t="s">
        <v>35</v>
      </c>
      <c r="D154" s="27" t="s">
        <v>23</v>
      </c>
      <c r="E154" s="28" t="str">
        <f>HYPERLINK("https://www.compass.com/building/175-08-93rd-ave-queens-ny-11433/293526906349854949/","175-08 93rd Ave")</f>
        <v>175-08 93rd Ave</v>
      </c>
      <c r="F154" s="26" t="s">
        <v>30</v>
      </c>
      <c r="G154" s="29">
        <v>410000.0</v>
      </c>
      <c r="H154" s="34"/>
      <c r="I154" s="29">
        <v>234.0</v>
      </c>
      <c r="J154" s="29">
        <v>2811.0</v>
      </c>
      <c r="K154" s="26" t="s">
        <v>32</v>
      </c>
      <c r="L154" s="27">
        <v>7.0</v>
      </c>
      <c r="M154" s="27">
        <v>3.0</v>
      </c>
      <c r="N154" s="27">
        <v>1.0</v>
      </c>
      <c r="O154" s="27">
        <v>0.0</v>
      </c>
      <c r="P154" s="30"/>
      <c r="Q154" s="32">
        <v>534.0</v>
      </c>
      <c r="R154" s="33">
        <v>45616.0</v>
      </c>
      <c r="S154" s="33">
        <v>42130.0</v>
      </c>
      <c r="T154" s="29">
        <v>410000.0</v>
      </c>
      <c r="U154" s="33">
        <v>42829.0</v>
      </c>
      <c r="V154" s="1"/>
    </row>
    <row r="155" ht="24.0" customHeight="1">
      <c r="A155" s="1"/>
      <c r="B155" s="25" t="str">
        <f>HYPERLINK("https://www.compass.com/listing/108-35-160th-street-unit-29c-queens-ny-11433/192692547976442993/view?agent_id=610d3f3370540700019b0833","108-35 160th Street, Unit 29C")</f>
        <v>108-35 160th Street, Unit 29C</v>
      </c>
      <c r="C155" s="26" t="s">
        <v>35</v>
      </c>
      <c r="D155" s="27" t="s">
        <v>23</v>
      </c>
      <c r="E155" s="28" t="str">
        <f>HYPERLINK("https://www.compass.com/building/108-35-160th-st-queens-ny-11433/307448712993236133/","108-35 160th St")</f>
        <v>108-35 160th St</v>
      </c>
      <c r="F155" s="26" t="s">
        <v>46</v>
      </c>
      <c r="G155" s="29">
        <v>291500.0</v>
      </c>
      <c r="H155" s="29">
        <v>317.0</v>
      </c>
      <c r="I155" s="29">
        <v>194.0</v>
      </c>
      <c r="J155" s="29">
        <v>2332.0</v>
      </c>
      <c r="K155" s="26" t="s">
        <v>31</v>
      </c>
      <c r="L155" s="27">
        <v>5.0</v>
      </c>
      <c r="M155" s="27">
        <v>3.0</v>
      </c>
      <c r="N155" s="27">
        <v>1.0</v>
      </c>
      <c r="O155" s="30"/>
      <c r="P155" s="27">
        <v>920.0</v>
      </c>
      <c r="Q155" s="32">
        <v>60.0</v>
      </c>
      <c r="R155" s="33">
        <v>45627.0</v>
      </c>
      <c r="S155" s="33">
        <v>43363.0</v>
      </c>
      <c r="T155" s="29">
        <v>291500.0</v>
      </c>
      <c r="U155" s="33">
        <v>43510.0</v>
      </c>
      <c r="V155" s="1"/>
    </row>
    <row r="156" ht="24.0" customHeight="1">
      <c r="A156" s="1"/>
      <c r="B156" s="25" t="str">
        <f>HYPERLINK("https://www.compass.com/listing/108-42-union-hall-street-queens-ny-11433/1730713647652404801/view?agent_id=610d3f3370540700019b0833","108-42 Union Hall Street")</f>
        <v>108-42 Union Hall Street</v>
      </c>
      <c r="C156" s="26" t="s">
        <v>35</v>
      </c>
      <c r="D156" s="27" t="s">
        <v>23</v>
      </c>
      <c r="E156" s="28" t="str">
        <f>HYPERLINK("https://www.compass.com/building/108-42-union-hall-st-queens-ny-11433/293529073873862181/","108-42 Union Hall St")</f>
        <v>108-42 Union Hall St</v>
      </c>
      <c r="F156" s="26" t="s">
        <v>46</v>
      </c>
      <c r="G156" s="29">
        <v>275000.0</v>
      </c>
      <c r="H156" s="34"/>
      <c r="I156" s="29">
        <v>120.0</v>
      </c>
      <c r="J156" s="29">
        <v>1445.0</v>
      </c>
      <c r="K156" s="26" t="s">
        <v>32</v>
      </c>
      <c r="L156" s="27">
        <v>8.0</v>
      </c>
      <c r="M156" s="27">
        <v>3.0</v>
      </c>
      <c r="N156" s="27">
        <v>1.0</v>
      </c>
      <c r="O156" s="30"/>
      <c r="P156" s="30"/>
      <c r="Q156" s="32">
        <v>153.0</v>
      </c>
      <c r="R156" s="33">
        <v>45617.0</v>
      </c>
      <c r="S156" s="33">
        <v>41624.0</v>
      </c>
      <c r="T156" s="29">
        <v>275000.0</v>
      </c>
      <c r="U156" s="33">
        <v>41866.0</v>
      </c>
      <c r="V156" s="1"/>
    </row>
    <row r="157" ht="24.0" customHeight="1">
      <c r="A157" s="1"/>
      <c r="B157" s="25" t="str">
        <f>HYPERLINK("https://www.compass.com/listing/166-37-89th-avenue-queens-ny-11432/898312293807444689/view?agent_id=610d3f3370540700019b0833","166-37 89th Avenue")</f>
        <v>166-37 89th Avenue</v>
      </c>
      <c r="C157" s="26" t="s">
        <v>35</v>
      </c>
      <c r="D157" s="27" t="s">
        <v>23</v>
      </c>
      <c r="E157" s="28" t="str">
        <f>HYPERLINK("https://www.compass.com/building/166-37-89th-ave-queens-ny-11432/293529488606693141/","166-37 89th Ave")</f>
        <v>166-37 89th Ave</v>
      </c>
      <c r="F157" s="26" t="s">
        <v>24</v>
      </c>
      <c r="G157" s="29">
        <v>720000.0</v>
      </c>
      <c r="H157" s="34"/>
      <c r="I157" s="29">
        <v>174.0</v>
      </c>
      <c r="J157" s="29">
        <v>2085.0</v>
      </c>
      <c r="K157" s="26" t="s">
        <v>32</v>
      </c>
      <c r="L157" s="27">
        <v>6.0</v>
      </c>
      <c r="M157" s="27">
        <v>3.0</v>
      </c>
      <c r="N157" s="27">
        <v>1.0</v>
      </c>
      <c r="O157" s="30"/>
      <c r="P157" s="30"/>
      <c r="Q157" s="32">
        <v>118.0</v>
      </c>
      <c r="R157" s="33">
        <v>45617.0</v>
      </c>
      <c r="S157" s="33">
        <v>44491.0</v>
      </c>
      <c r="T157" s="29">
        <v>720000.0</v>
      </c>
      <c r="U157" s="33">
        <v>44804.0</v>
      </c>
      <c r="V157" s="1"/>
    </row>
    <row r="158" ht="24.0" customHeight="1">
      <c r="A158" s="1"/>
      <c r="B158" s="25" t="str">
        <f>HYPERLINK("https://www.compass.com/listing/108-19-160th-street-unit-21c-queens-ny-11433/29130893188758769/view?agent_id=610d3f3370540700019b0833","108-19 160th St, Unit 21C")</f>
        <v>108-19 160th St, Unit 21C</v>
      </c>
      <c r="C158" s="26" t="s">
        <v>35</v>
      </c>
      <c r="D158" s="27" t="s">
        <v>23</v>
      </c>
      <c r="E158" s="28" t="str">
        <f t="shared" ref="E158:E159" si="8">HYPERLINK("https://www.compass.com/building/108-19-160th-st-queens-ny-11433/307434313310064389/","108-19 160th St")</f>
        <v>108-19 160th St</v>
      </c>
      <c r="F158" s="26" t="s">
        <v>46</v>
      </c>
      <c r="G158" s="29">
        <v>196100.0</v>
      </c>
      <c r="H158" s="29">
        <v>212.0</v>
      </c>
      <c r="I158" s="29">
        <v>338.0</v>
      </c>
      <c r="J158" s="29">
        <v>1180.0</v>
      </c>
      <c r="K158" s="26" t="s">
        <v>31</v>
      </c>
      <c r="L158" s="30"/>
      <c r="M158" s="27">
        <v>3.0</v>
      </c>
      <c r="N158" s="27">
        <v>1.0</v>
      </c>
      <c r="O158" s="30"/>
      <c r="P158" s="27">
        <v>923.0</v>
      </c>
      <c r="Q158" s="48"/>
      <c r="R158" s="35"/>
      <c r="S158" s="35"/>
      <c r="T158" s="29">
        <v>196100.0</v>
      </c>
      <c r="U158" s="33">
        <v>39001.0</v>
      </c>
      <c r="V158" s="1"/>
    </row>
    <row r="159" ht="24.0" customHeight="1">
      <c r="A159" s="1"/>
      <c r="B159" s="25" t="str">
        <f>HYPERLINK("https://www.compass.com/listing/108-19-160th-street-unit-21c-queens-ny-11433/81793675549529089/view?agent_id=610d3f3370540700019b0833","108-19 160th St, Unit 21C")</f>
        <v>108-19 160th St, Unit 21C</v>
      </c>
      <c r="C159" s="26" t="s">
        <v>35</v>
      </c>
      <c r="D159" s="27" t="s">
        <v>23</v>
      </c>
      <c r="E159" s="28" t="str">
        <f t="shared" si="8"/>
        <v>108-19 160th St</v>
      </c>
      <c r="F159" s="26" t="s">
        <v>46</v>
      </c>
      <c r="G159" s="29">
        <v>225000.0</v>
      </c>
      <c r="H159" s="29">
        <v>244.0</v>
      </c>
      <c r="I159" s="29">
        <v>247.0</v>
      </c>
      <c r="J159" s="29">
        <v>2964.0</v>
      </c>
      <c r="K159" s="26" t="s">
        <v>31</v>
      </c>
      <c r="L159" s="30"/>
      <c r="M159" s="27">
        <v>3.0</v>
      </c>
      <c r="N159" s="27">
        <v>1.0</v>
      </c>
      <c r="O159" s="30"/>
      <c r="P159" s="27">
        <v>923.0</v>
      </c>
      <c r="Q159" s="48"/>
      <c r="R159" s="35"/>
      <c r="S159" s="35"/>
      <c r="T159" s="29">
        <v>225000.0</v>
      </c>
      <c r="U159" s="33">
        <v>43343.0</v>
      </c>
      <c r="V159" s="1"/>
    </row>
    <row r="160" ht="24.0" customHeight="1">
      <c r="A160" s="1"/>
      <c r="B160" s="25" t="str">
        <f>HYPERLINK("https://www.compass.com/listing/10819-160th-street-unit-21b-queens-ny-11433/665885090583300393/view?agent_id=610d3f3370540700019b0833","10819 160th Street, Unit 21B")</f>
        <v>10819 160th Street, Unit 21B</v>
      </c>
      <c r="C160" s="26" t="s">
        <v>35</v>
      </c>
      <c r="D160" s="27" t="s">
        <v>23</v>
      </c>
      <c r="E160" s="27" t="s">
        <v>50</v>
      </c>
      <c r="F160" s="26" t="s">
        <v>46</v>
      </c>
      <c r="G160" s="29">
        <v>343000.0</v>
      </c>
      <c r="H160" s="29">
        <v>377.0</v>
      </c>
      <c r="I160" s="29">
        <v>69.0</v>
      </c>
      <c r="J160" s="29">
        <v>829.0</v>
      </c>
      <c r="K160" s="26" t="s">
        <v>31</v>
      </c>
      <c r="L160" s="27">
        <v>4.0</v>
      </c>
      <c r="M160" s="27">
        <v>3.0</v>
      </c>
      <c r="N160" s="27">
        <v>1.0</v>
      </c>
      <c r="O160" s="30"/>
      <c r="P160" s="27">
        <v>911.0</v>
      </c>
      <c r="Q160" s="32">
        <v>95.0</v>
      </c>
      <c r="R160" s="33">
        <v>45612.0</v>
      </c>
      <c r="S160" s="33">
        <v>44170.0</v>
      </c>
      <c r="T160" s="29">
        <v>343000.0</v>
      </c>
      <c r="U160" s="33">
        <v>44400.0</v>
      </c>
      <c r="V160" s="1"/>
    </row>
    <row r="161" ht="24.0" customHeight="1">
      <c r="A161" s="1"/>
      <c r="B161" s="25" t="str">
        <f>HYPERLINK("https://www.compass.com/listing/175-15-90th-avenue-queens-ny-11432/1007324013724534961/view?agent_id=610d3f3370540700019b0833","175-15 90th Avenue")</f>
        <v>175-15 90th Avenue</v>
      </c>
      <c r="C161" s="26" t="s">
        <v>35</v>
      </c>
      <c r="D161" s="27" t="s">
        <v>23</v>
      </c>
      <c r="E161" s="28" t="str">
        <f>HYPERLINK("https://www.compass.com/building/175-15-90th-ave-queens-ny-11432/293417343873188085/","175-15 90th Ave")</f>
        <v>175-15 90th Ave</v>
      </c>
      <c r="F161" s="26" t="s">
        <v>45</v>
      </c>
      <c r="G161" s="29">
        <v>700000.0</v>
      </c>
      <c r="H161" s="29">
        <v>315.0</v>
      </c>
      <c r="I161" s="29">
        <v>576.0</v>
      </c>
      <c r="J161" s="29">
        <v>6915.0</v>
      </c>
      <c r="K161" s="26" t="s">
        <v>32</v>
      </c>
      <c r="L161" s="27">
        <v>7.0</v>
      </c>
      <c r="M161" s="27">
        <v>3.0</v>
      </c>
      <c r="N161" s="27">
        <v>1.0</v>
      </c>
      <c r="O161" s="30"/>
      <c r="P161" s="31">
        <v>2225.0</v>
      </c>
      <c r="Q161" s="32">
        <v>7.0</v>
      </c>
      <c r="R161" s="33">
        <v>45710.0</v>
      </c>
      <c r="S161" s="33">
        <v>44642.0</v>
      </c>
      <c r="T161" s="29">
        <v>700000.0</v>
      </c>
      <c r="U161" s="33">
        <v>44720.0</v>
      </c>
      <c r="V161" s="1"/>
    </row>
    <row r="162" ht="24.0" customHeight="1">
      <c r="A162" s="1"/>
      <c r="B162" s="25" t="str">
        <f>HYPERLINK("https://www.compass.com/listing/160-15-108th-avenue-queens-ny-11433/446591762048820305/view?agent_id=610d3f3370540700019b0833","160-15 108th Ave")</f>
        <v>160-15 108th Ave</v>
      </c>
      <c r="C162" s="26" t="s">
        <v>35</v>
      </c>
      <c r="D162" s="27" t="s">
        <v>23</v>
      </c>
      <c r="E162" s="28" t="str">
        <f>HYPERLINK("https://www.compass.com/building/160-15-108th-ave-queens-ny-11433/293526451435709765/","160-15 108th Ave")</f>
        <v>160-15 108th Ave</v>
      </c>
      <c r="F162" s="26" t="s">
        <v>46</v>
      </c>
      <c r="G162" s="34"/>
      <c r="H162" s="34"/>
      <c r="I162" s="29">
        <v>0.0</v>
      </c>
      <c r="J162" s="29">
        <v>0.0</v>
      </c>
      <c r="K162" s="49"/>
      <c r="L162" s="30"/>
      <c r="M162" s="27">
        <v>3.0</v>
      </c>
      <c r="N162" s="27">
        <v>1.0</v>
      </c>
      <c r="O162" s="27">
        <v>0.0</v>
      </c>
      <c r="P162" s="30"/>
      <c r="Q162" s="32">
        <v>15.0</v>
      </c>
      <c r="R162" s="33">
        <v>44406.0</v>
      </c>
      <c r="S162" s="33">
        <v>43360.0</v>
      </c>
      <c r="T162" s="34"/>
      <c r="U162" s="33">
        <v>43375.0</v>
      </c>
      <c r="V162" s="1"/>
    </row>
    <row r="163" ht="24.0" customHeight="1">
      <c r="A163" s="1"/>
      <c r="B163" s="25" t="str">
        <f>HYPERLINK("https://www.compass.com/listing/106-41-union-hall-street-queens-ny-11433/197772817184410609/view?agent_id=610d3f3370540700019b0833","106-41 Union Hall Street")</f>
        <v>106-41 Union Hall Street</v>
      </c>
      <c r="C163" s="26" t="s">
        <v>35</v>
      </c>
      <c r="D163" s="27" t="s">
        <v>23</v>
      </c>
      <c r="E163" s="28" t="str">
        <f>HYPERLINK("https://www.compass.com/building/106-41-union-hall-st-queens-ny-11433/293526654767136325/","106-41 Union Hall St")</f>
        <v>106-41 Union Hall St</v>
      </c>
      <c r="F163" s="26" t="s">
        <v>46</v>
      </c>
      <c r="G163" s="29">
        <v>333000.0</v>
      </c>
      <c r="H163" s="34"/>
      <c r="I163" s="29">
        <v>186.0</v>
      </c>
      <c r="J163" s="29">
        <v>2235.0</v>
      </c>
      <c r="K163" s="26" t="s">
        <v>32</v>
      </c>
      <c r="L163" s="27">
        <v>6.0</v>
      </c>
      <c r="M163" s="27">
        <v>3.0</v>
      </c>
      <c r="N163" s="27">
        <v>1.0</v>
      </c>
      <c r="O163" s="30"/>
      <c r="P163" s="30"/>
      <c r="Q163" s="32">
        <v>4.0</v>
      </c>
      <c r="R163" s="33">
        <v>45617.0</v>
      </c>
      <c r="S163" s="33">
        <v>43489.0</v>
      </c>
      <c r="T163" s="29">
        <v>333000.0</v>
      </c>
      <c r="U163" s="33">
        <v>43539.0</v>
      </c>
      <c r="V163" s="1"/>
    </row>
    <row r="164" ht="24.0" customHeight="1">
      <c r="A164" s="1"/>
      <c r="B164" s="25" t="str">
        <f>HYPERLINK("https://www.compass.com/listing/108-35-160th-street-unit-29c-queens-ny-11433/29130898087706033/view?agent_id=610d3f3370540700019b0833","108-35 160th Street, Unit 29C")</f>
        <v>108-35 160th Street, Unit 29C</v>
      </c>
      <c r="C164" s="26" t="s">
        <v>35</v>
      </c>
      <c r="D164" s="27" t="s">
        <v>23</v>
      </c>
      <c r="E164" s="28" t="str">
        <f>HYPERLINK("https://www.compass.com/building/108-35-160th-st-queens-ny-11433/307448712993236133/","108-35 160th St")</f>
        <v>108-35 160th St</v>
      </c>
      <c r="F164" s="26" t="s">
        <v>46</v>
      </c>
      <c r="G164" s="29">
        <v>175000.0</v>
      </c>
      <c r="H164" s="34"/>
      <c r="I164" s="29">
        <v>54.0</v>
      </c>
      <c r="J164" s="29">
        <v>650.0</v>
      </c>
      <c r="K164" s="26" t="s">
        <v>31</v>
      </c>
      <c r="L164" s="27">
        <v>6.0</v>
      </c>
      <c r="M164" s="27">
        <v>3.0</v>
      </c>
      <c r="N164" s="27">
        <v>1.0</v>
      </c>
      <c r="O164" s="30"/>
      <c r="P164" s="30"/>
      <c r="Q164" s="32">
        <v>94.0</v>
      </c>
      <c r="R164" s="33">
        <v>45623.0</v>
      </c>
      <c r="S164" s="33">
        <v>41743.0</v>
      </c>
      <c r="T164" s="29">
        <v>175000.0</v>
      </c>
      <c r="U164" s="33">
        <v>41976.0</v>
      </c>
      <c r="V164" s="1"/>
    </row>
    <row r="165" ht="24.0" customHeight="1">
      <c r="A165" s="1"/>
      <c r="B165" s="25" t="str">
        <f>HYPERLINK("https://www.compass.com/listing/175-10-93rd-avenue-queens-ny-11433/196947606008556337/view?agent_id=610d3f3370540700019b0833","175-10 93rd Avenue")</f>
        <v>175-10 93rd Avenue</v>
      </c>
      <c r="C165" s="26" t="s">
        <v>35</v>
      </c>
      <c r="D165" s="27" t="s">
        <v>23</v>
      </c>
      <c r="E165" s="28" t="str">
        <f>HYPERLINK("https://www.compass.com/building/175-10-93rd-ave-queens-ny-11433/293527655628746213/","175-10 93rd Ave")</f>
        <v>175-10 93rd Ave</v>
      </c>
      <c r="F165" s="26" t="s">
        <v>30</v>
      </c>
      <c r="G165" s="29">
        <v>449000.0</v>
      </c>
      <c r="H165" s="29">
        <v>353.0</v>
      </c>
      <c r="I165" s="29">
        <v>309.0</v>
      </c>
      <c r="J165" s="29">
        <v>3710.0</v>
      </c>
      <c r="K165" s="26" t="s">
        <v>32</v>
      </c>
      <c r="L165" s="27">
        <v>6.0</v>
      </c>
      <c r="M165" s="27">
        <v>3.0</v>
      </c>
      <c r="N165" s="27">
        <v>1.0</v>
      </c>
      <c r="O165" s="30"/>
      <c r="P165" s="31">
        <v>1272.0</v>
      </c>
      <c r="Q165" s="32">
        <v>42.0</v>
      </c>
      <c r="R165" s="33">
        <v>45617.0</v>
      </c>
      <c r="S165" s="33">
        <v>43521.0</v>
      </c>
      <c r="T165" s="29">
        <v>449000.0</v>
      </c>
      <c r="U165" s="33">
        <v>43572.0</v>
      </c>
      <c r="V165" s="1"/>
    </row>
    <row r="166" ht="24.0" customHeight="1">
      <c r="A166" s="1"/>
      <c r="B166" s="25" t="str">
        <f>HYPERLINK("https://www.compass.com/listing/107-01-princeton-street-queens-ny-11435/1813819507660287681/view?agent_id=610d3f3370540700019b0833","107-01 Princeton St")</f>
        <v>107-01 Princeton St</v>
      </c>
      <c r="C166" s="26" t="s">
        <v>35</v>
      </c>
      <c r="D166" s="27" t="s">
        <v>23</v>
      </c>
      <c r="E166" s="28" t="str">
        <f>HYPERLINK("https://www.compass.com/building/107-01-princeton-st-queens-ny-11435/293529636019636629/","107-01 Princeton St")</f>
        <v>107-01 Princeton St</v>
      </c>
      <c r="F166" s="26" t="s">
        <v>24</v>
      </c>
      <c r="G166" s="29">
        <v>449000.0</v>
      </c>
      <c r="H166" s="29">
        <v>319.0</v>
      </c>
      <c r="I166" s="29">
        <v>345.0</v>
      </c>
      <c r="J166" s="29">
        <v>4145.0</v>
      </c>
      <c r="K166" s="26" t="s">
        <v>39</v>
      </c>
      <c r="L166" s="30"/>
      <c r="M166" s="27">
        <v>3.0</v>
      </c>
      <c r="N166" s="27">
        <v>1.0</v>
      </c>
      <c r="O166" s="30"/>
      <c r="P166" s="31">
        <v>1406.0</v>
      </c>
      <c r="Q166" s="48"/>
      <c r="R166" s="35"/>
      <c r="S166" s="35"/>
      <c r="T166" s="29">
        <v>449000.0</v>
      </c>
      <c r="U166" s="33">
        <v>45685.0</v>
      </c>
      <c r="V166" s="1"/>
    </row>
    <row r="167" ht="24.0" customHeight="1">
      <c r="A167" s="1"/>
      <c r="B167" s="25" t="str">
        <f>HYPERLINK("https://www.compass.com/listing/164-13-109th-avenue-queens-ny-11433/1813819509329553921/view?agent_id=610d3f3370540700019b0833","164-13 109th Ave")</f>
        <v>164-13 109th Ave</v>
      </c>
      <c r="C167" s="26" t="s">
        <v>35</v>
      </c>
      <c r="D167" s="27" t="s">
        <v>23</v>
      </c>
      <c r="E167" s="28" t="str">
        <f>HYPERLINK("https://www.compass.com/building/164-13-109th-ave-queens-ny-11433/293529087043982261/","164-13 109th Ave")</f>
        <v>164-13 109th Ave</v>
      </c>
      <c r="F167" s="26" t="s">
        <v>24</v>
      </c>
      <c r="G167" s="29">
        <v>497250.0</v>
      </c>
      <c r="H167" s="29">
        <v>390.0</v>
      </c>
      <c r="I167" s="29">
        <v>313.0</v>
      </c>
      <c r="J167" s="29">
        <v>3750.0</v>
      </c>
      <c r="K167" s="26" t="s">
        <v>39</v>
      </c>
      <c r="L167" s="30"/>
      <c r="M167" s="27">
        <v>3.0</v>
      </c>
      <c r="N167" s="27">
        <v>1.0</v>
      </c>
      <c r="O167" s="30"/>
      <c r="P167" s="31">
        <v>1275.0</v>
      </c>
      <c r="Q167" s="48"/>
      <c r="R167" s="35"/>
      <c r="S167" s="35"/>
      <c r="T167" s="29">
        <v>497250.0</v>
      </c>
      <c r="U167" s="33">
        <v>45611.0</v>
      </c>
      <c r="V167" s="1"/>
    </row>
    <row r="168" ht="24.0" customHeight="1">
      <c r="A168" s="1"/>
      <c r="B168" s="25" t="str">
        <f>HYPERLINK("https://www.compass.com/listing/108-19-160th-unit-21c-queens-ny-11433/197776924607639041/view?agent_id=610d3f3370540700019b0833","108-19 160th, Unit 21C")</f>
        <v>108-19 160th, Unit 21C</v>
      </c>
      <c r="C168" s="26" t="s">
        <v>35</v>
      </c>
      <c r="D168" s="27" t="s">
        <v>23</v>
      </c>
      <c r="E168" s="28" t="str">
        <f>HYPERLINK("https://www.compass.com/building/108-19-160th-queens-ny-11433/567543279510331813/","108-19 160th")</f>
        <v>108-19 160th</v>
      </c>
      <c r="F168" s="26" t="s">
        <v>24</v>
      </c>
      <c r="G168" s="29">
        <v>360000.0</v>
      </c>
      <c r="H168" s="34"/>
      <c r="I168" s="29">
        <v>333.0</v>
      </c>
      <c r="J168" s="29">
        <v>229.0</v>
      </c>
      <c r="K168" s="26" t="s">
        <v>31</v>
      </c>
      <c r="L168" s="27">
        <v>8.0</v>
      </c>
      <c r="M168" s="27">
        <v>3.0</v>
      </c>
      <c r="N168" s="27">
        <v>1.0</v>
      </c>
      <c r="O168" s="30"/>
      <c r="P168" s="30"/>
      <c r="Q168" s="32">
        <v>103.0</v>
      </c>
      <c r="R168" s="33">
        <v>45617.0</v>
      </c>
      <c r="S168" s="33">
        <v>43496.0</v>
      </c>
      <c r="T168" s="29">
        <v>360000.0</v>
      </c>
      <c r="U168" s="33">
        <v>43644.0</v>
      </c>
      <c r="V168" s="1"/>
    </row>
    <row r="169" ht="24.0" customHeight="1">
      <c r="A169" s="1"/>
      <c r="B169" s="25" t="str">
        <f>HYPERLINK("https://www.compass.com/listing/160-15-108th-avenue-queens-ny-11433/29130814486829665/view?agent_id=610d3f3370540700019b0833","160-15 108th Ave")</f>
        <v>160-15 108th Ave</v>
      </c>
      <c r="C169" s="26" t="s">
        <v>35</v>
      </c>
      <c r="D169" s="27" t="s">
        <v>23</v>
      </c>
      <c r="E169" s="28" t="str">
        <f>HYPERLINK("https://www.compass.com/building/160-15-108th-ave-queens-ny-11433/293526451435709765/","160-15 108th Ave")</f>
        <v>160-15 108th Ave</v>
      </c>
      <c r="F169" s="26" t="s">
        <v>46</v>
      </c>
      <c r="G169" s="29">
        <v>410000.0</v>
      </c>
      <c r="H169" s="34"/>
      <c r="I169" s="29">
        <v>0.0</v>
      </c>
      <c r="J169" s="29">
        <v>0.0</v>
      </c>
      <c r="K169" s="26" t="s">
        <v>44</v>
      </c>
      <c r="L169" s="30"/>
      <c r="M169" s="27">
        <v>3.0</v>
      </c>
      <c r="N169" s="27">
        <v>1.0</v>
      </c>
      <c r="O169" s="27">
        <v>0.0</v>
      </c>
      <c r="P169" s="30"/>
      <c r="Q169" s="48"/>
      <c r="R169" s="35"/>
      <c r="S169" s="35"/>
      <c r="T169" s="29">
        <v>410000.0</v>
      </c>
      <c r="U169" s="33">
        <v>39156.0</v>
      </c>
      <c r="V169" s="1"/>
    </row>
    <row r="170" ht="24.0" customHeight="1">
      <c r="A170" s="1"/>
      <c r="B170" s="25" t="str">
        <f>HYPERLINK("https://www.compass.com/listing/89-12-183rd-street-queens-ny-11423/850626060272664393/view?agent_id=610d3f3370540700019b0833","89-12 183rd Street")</f>
        <v>89-12 183rd Street</v>
      </c>
      <c r="C170" s="26" t="s">
        <v>35</v>
      </c>
      <c r="D170" s="27" t="s">
        <v>23</v>
      </c>
      <c r="E170" s="28" t="str">
        <f>HYPERLINK("https://www.compass.com/building/89-12-183rd-st-queens-ny-11423/293530618023655045/","89-12 183rd St")</f>
        <v>89-12 183rd St</v>
      </c>
      <c r="F170" s="26" t="s">
        <v>24</v>
      </c>
      <c r="G170" s="29">
        <v>815000.0</v>
      </c>
      <c r="H170" s="34"/>
      <c r="I170" s="29">
        <v>483.0</v>
      </c>
      <c r="J170" s="29">
        <v>5800.0</v>
      </c>
      <c r="K170" s="26" t="s">
        <v>32</v>
      </c>
      <c r="L170" s="27">
        <v>6.0</v>
      </c>
      <c r="M170" s="27">
        <v>3.0</v>
      </c>
      <c r="N170" s="27">
        <v>1.0</v>
      </c>
      <c r="O170" s="30"/>
      <c r="P170" s="30"/>
      <c r="Q170" s="32">
        <v>16.0</v>
      </c>
      <c r="R170" s="33">
        <v>45617.0</v>
      </c>
      <c r="S170" s="33">
        <v>44430.0</v>
      </c>
      <c r="T170" s="29">
        <v>815000.0</v>
      </c>
      <c r="U170" s="33">
        <v>44567.0</v>
      </c>
      <c r="V170" s="1"/>
    </row>
    <row r="171" ht="24.0" customHeight="1">
      <c r="A171" s="1"/>
      <c r="B171" s="25" t="str">
        <f>HYPERLINK("https://www.compass.com/listing/147-09-linden-boulevard-queens-ny-11436/1730622094367551393/view?agent_id=610d3f3370540700019b0833","147-09 Linden Boulevard")</f>
        <v>147-09 Linden Boulevard</v>
      </c>
      <c r="C171" s="26" t="s">
        <v>35</v>
      </c>
      <c r="D171" s="27" t="s">
        <v>23</v>
      </c>
      <c r="E171" s="28" t="str">
        <f>HYPERLINK("https://www.compass.com/building/147-09-linden-blvd-queens-ny-11436/293528569307521461/","147-09 Linden Blvd")</f>
        <v>147-09 Linden Blvd</v>
      </c>
      <c r="F171" s="26" t="s">
        <v>24</v>
      </c>
      <c r="G171" s="29">
        <v>315050.0</v>
      </c>
      <c r="H171" s="34"/>
      <c r="I171" s="29">
        <v>241.0</v>
      </c>
      <c r="J171" s="29">
        <v>2896.0</v>
      </c>
      <c r="K171" s="26" t="s">
        <v>32</v>
      </c>
      <c r="L171" s="27">
        <v>7.0</v>
      </c>
      <c r="M171" s="27">
        <v>3.0</v>
      </c>
      <c r="N171" s="27">
        <v>1.0</v>
      </c>
      <c r="O171" s="30"/>
      <c r="P171" s="30"/>
      <c r="Q171" s="32">
        <v>42.0</v>
      </c>
      <c r="R171" s="33">
        <v>45624.0</v>
      </c>
      <c r="S171" s="33">
        <v>41890.0</v>
      </c>
      <c r="T171" s="29">
        <v>315050.0</v>
      </c>
      <c r="U171" s="33">
        <v>41968.0</v>
      </c>
      <c r="V171" s="1"/>
    </row>
    <row r="172" ht="24.0" customHeight="1">
      <c r="A172" s="1"/>
      <c r="B172" s="25" t="str">
        <f>HYPERLINK("https://www.compass.com/listing/89-24-182nd-street-queens-ny-11423/1556354062797556873/view?agent_id=610d3f3370540700019b0833","89-24 182nd Street")</f>
        <v>89-24 182nd Street</v>
      </c>
      <c r="C172" s="26" t="s">
        <v>35</v>
      </c>
      <c r="D172" s="27" t="s">
        <v>23</v>
      </c>
      <c r="E172" s="28" t="str">
        <f>HYPERLINK("https://www.compass.com/building/89-24-182nd-st-queens-ny-11423/293534769755471989/","89-24 182nd St")</f>
        <v>89-24 182nd St</v>
      </c>
      <c r="F172" s="26" t="s">
        <v>24</v>
      </c>
      <c r="G172" s="29">
        <v>470000.0</v>
      </c>
      <c r="H172" s="34"/>
      <c r="I172" s="29">
        <v>378.0</v>
      </c>
      <c r="J172" s="29">
        <v>4532.0</v>
      </c>
      <c r="K172" s="26" t="s">
        <v>32</v>
      </c>
      <c r="L172" s="27">
        <v>6.0</v>
      </c>
      <c r="M172" s="27">
        <v>3.0</v>
      </c>
      <c r="N172" s="27">
        <v>1.0</v>
      </c>
      <c r="O172" s="30"/>
      <c r="P172" s="30"/>
      <c r="Q172" s="32">
        <v>28.0</v>
      </c>
      <c r="R172" s="33">
        <v>45623.0</v>
      </c>
      <c r="S172" s="33">
        <v>41690.0</v>
      </c>
      <c r="T172" s="29">
        <v>470000.0</v>
      </c>
      <c r="U172" s="33">
        <v>41801.0</v>
      </c>
      <c r="V172" s="1"/>
    </row>
    <row r="173" ht="24.0" customHeight="1">
      <c r="A173" s="1"/>
      <c r="B173" s="25" t="str">
        <f>HYPERLINK("https://www.compass.com/listing/90-23-181st-street-queens-ny-11423/1565349128032945721/view?agent_id=610d3f3370540700019b0833","90-23 181st Street")</f>
        <v>90-23 181st Street</v>
      </c>
      <c r="C173" s="26" t="s">
        <v>35</v>
      </c>
      <c r="D173" s="27" t="s">
        <v>23</v>
      </c>
      <c r="E173" s="28" t="str">
        <f>HYPERLINK("https://www.compass.com/building/90-23-181st-st-queens-ny-11423/293531902143395061/","90-23 181st St")</f>
        <v>90-23 181st St</v>
      </c>
      <c r="F173" s="26" t="s">
        <v>24</v>
      </c>
      <c r="G173" s="29">
        <v>570000.0</v>
      </c>
      <c r="H173" s="34"/>
      <c r="I173" s="29">
        <v>537.0</v>
      </c>
      <c r="J173" s="29">
        <v>6440.0</v>
      </c>
      <c r="K173" s="26" t="s">
        <v>36</v>
      </c>
      <c r="L173" s="27">
        <v>7.0</v>
      </c>
      <c r="M173" s="27">
        <v>3.0</v>
      </c>
      <c r="N173" s="27">
        <v>1.0</v>
      </c>
      <c r="O173" s="30"/>
      <c r="P173" s="30"/>
      <c r="Q173" s="32">
        <v>2.0</v>
      </c>
      <c r="R173" s="33">
        <v>45783.0</v>
      </c>
      <c r="S173" s="33">
        <v>45411.0</v>
      </c>
      <c r="T173" s="29">
        <v>570000.0</v>
      </c>
      <c r="U173" s="33">
        <v>45769.0</v>
      </c>
      <c r="V173" s="1"/>
    </row>
    <row r="174" ht="24.0" customHeight="1">
      <c r="A174" s="1"/>
      <c r="B174" s="25" t="str">
        <f>HYPERLINK("https://www.compass.com/listing/107-37-princeton-street-queens-ny-11435/749402483918827401/view?agent_id=610d3f3370540700019b0833","107-37 Princeton Street")</f>
        <v>107-37 Princeton Street</v>
      </c>
      <c r="C174" s="26" t="s">
        <v>35</v>
      </c>
      <c r="D174" s="27" t="s">
        <v>23</v>
      </c>
      <c r="E174" s="28" t="str">
        <f>HYPERLINK("https://www.compass.com/building/107-37-princeton-st-queens-ny-11435/293533980454646309/","107-37 Princeton St")</f>
        <v>107-37 Princeton St</v>
      </c>
      <c r="F174" s="26" t="s">
        <v>24</v>
      </c>
      <c r="G174" s="29">
        <v>605000.0</v>
      </c>
      <c r="H174" s="29">
        <v>407.0</v>
      </c>
      <c r="I174" s="29">
        <v>280.0</v>
      </c>
      <c r="J174" s="29">
        <v>3355.0</v>
      </c>
      <c r="K174" s="26" t="s">
        <v>32</v>
      </c>
      <c r="L174" s="27">
        <v>7.0</v>
      </c>
      <c r="M174" s="27">
        <v>3.0</v>
      </c>
      <c r="N174" s="27">
        <v>1.0</v>
      </c>
      <c r="O174" s="27">
        <v>0.0</v>
      </c>
      <c r="P174" s="31">
        <v>1485.0</v>
      </c>
      <c r="Q174" s="32">
        <v>38.0</v>
      </c>
      <c r="R174" s="33">
        <v>45597.0</v>
      </c>
      <c r="S174" s="33">
        <v>44285.0</v>
      </c>
      <c r="T174" s="29">
        <v>605000.0</v>
      </c>
      <c r="U174" s="33">
        <v>44438.0</v>
      </c>
      <c r="V174" s="1"/>
    </row>
    <row r="175" ht="24.0" customHeight="1">
      <c r="A175" s="1"/>
      <c r="B175" s="25" t="str">
        <f>HYPERLINK("https://www.compass.com/listing/144-17-88th-avenue-queens-ny-11435/511584721434875817/view?agent_id=610d3f3370540700019b0833","144-17 88th Avenue")</f>
        <v>144-17 88th Avenue</v>
      </c>
      <c r="C175" s="26" t="s">
        <v>35</v>
      </c>
      <c r="D175" s="27" t="s">
        <v>23</v>
      </c>
      <c r="E175" s="28" t="str">
        <f t="shared" ref="E175:E176" si="9">HYPERLINK("https://www.compass.com/building/144-17-88th-ave-queens-ny-11435/293418239038396165/","144-17 88th Ave")</f>
        <v>144-17 88th Ave</v>
      </c>
      <c r="F175" s="26" t="s">
        <v>24</v>
      </c>
      <c r="G175" s="29">
        <v>670000.0</v>
      </c>
      <c r="H175" s="29">
        <v>441.0</v>
      </c>
      <c r="I175" s="29">
        <v>440.0</v>
      </c>
      <c r="J175" s="29">
        <v>5280.0</v>
      </c>
      <c r="K175" s="26" t="s">
        <v>32</v>
      </c>
      <c r="L175" s="27">
        <v>7.0</v>
      </c>
      <c r="M175" s="27">
        <v>3.0</v>
      </c>
      <c r="N175" s="27">
        <v>1.0</v>
      </c>
      <c r="O175" s="30"/>
      <c r="P175" s="31">
        <v>1520.0</v>
      </c>
      <c r="Q175" s="32">
        <v>137.0</v>
      </c>
      <c r="R175" s="33">
        <v>45617.0</v>
      </c>
      <c r="S175" s="33">
        <v>43977.0</v>
      </c>
      <c r="T175" s="29">
        <v>670000.0</v>
      </c>
      <c r="U175" s="33">
        <v>44169.0</v>
      </c>
      <c r="V175" s="1"/>
    </row>
    <row r="176" ht="24.0" customHeight="1">
      <c r="A176" s="1"/>
      <c r="B176" s="25" t="str">
        <f>HYPERLINK("https://www.compass.com/listing/144-17-88th-avenue-queens-ny-11435/1730754566493417025/view?agent_id=610d3f3370540700019b0833","144-17 88th Avenue")</f>
        <v>144-17 88th Avenue</v>
      </c>
      <c r="C176" s="26" t="s">
        <v>35</v>
      </c>
      <c r="D176" s="27" t="s">
        <v>23</v>
      </c>
      <c r="E176" s="28" t="str">
        <f t="shared" si="9"/>
        <v>144-17 88th Ave</v>
      </c>
      <c r="F176" s="26" t="s">
        <v>24</v>
      </c>
      <c r="G176" s="29">
        <v>670000.0</v>
      </c>
      <c r="H176" s="29">
        <v>441.0</v>
      </c>
      <c r="I176" s="29">
        <v>440.0</v>
      </c>
      <c r="J176" s="29">
        <v>5280.0</v>
      </c>
      <c r="K176" s="26" t="s">
        <v>32</v>
      </c>
      <c r="L176" s="27">
        <v>7.0</v>
      </c>
      <c r="M176" s="27">
        <v>3.0</v>
      </c>
      <c r="N176" s="27">
        <v>1.0</v>
      </c>
      <c r="O176" s="30"/>
      <c r="P176" s="31">
        <v>1520.0</v>
      </c>
      <c r="Q176" s="32">
        <v>184.0</v>
      </c>
      <c r="R176" s="33">
        <v>45597.0</v>
      </c>
      <c r="S176" s="33">
        <v>43956.0</v>
      </c>
      <c r="T176" s="29">
        <v>670000.0</v>
      </c>
      <c r="U176" s="33">
        <v>44169.0</v>
      </c>
      <c r="V176" s="1"/>
    </row>
    <row r="177" ht="24.0" customHeight="1">
      <c r="A177" s="1"/>
      <c r="B177" s="25" t="str">
        <f>HYPERLINK("https://www.compass.com/listing/138-09-109th-avenue-queens-ny-11435/358589230088298977/view?agent_id=610d3f3370540700019b0833","138-09 109th Avenue")</f>
        <v>138-09 109th Avenue</v>
      </c>
      <c r="C177" s="26" t="s">
        <v>35</v>
      </c>
      <c r="D177" s="27" t="s">
        <v>23</v>
      </c>
      <c r="E177" s="28" t="str">
        <f>HYPERLINK("https://www.compass.com/building/138-09-109th-ave-queens-ny-11435/293533860723993045/","138-09 109th Ave")</f>
        <v>138-09 109th Ave</v>
      </c>
      <c r="F177" s="26" t="s">
        <v>24</v>
      </c>
      <c r="G177" s="29">
        <v>510000.0</v>
      </c>
      <c r="H177" s="34"/>
      <c r="I177" s="29">
        <v>292.0</v>
      </c>
      <c r="J177" s="29">
        <v>3500.0</v>
      </c>
      <c r="K177" s="26" t="s">
        <v>32</v>
      </c>
      <c r="L177" s="27">
        <v>7.0</v>
      </c>
      <c r="M177" s="27">
        <v>3.0</v>
      </c>
      <c r="N177" s="27">
        <v>1.0</v>
      </c>
      <c r="O177" s="30"/>
      <c r="P177" s="30"/>
      <c r="Q177" s="32">
        <v>71.0</v>
      </c>
      <c r="R177" s="33">
        <v>45628.0</v>
      </c>
      <c r="S177" s="33">
        <v>43745.0</v>
      </c>
      <c r="T177" s="29">
        <v>510000.0</v>
      </c>
      <c r="U177" s="33">
        <v>43854.0</v>
      </c>
      <c r="V177" s="1"/>
    </row>
    <row r="178" ht="24.0" customHeight="1">
      <c r="A178" s="1"/>
      <c r="B178" s="25" t="str">
        <f>HYPERLINK("https://www.compass.com/listing/138-61-102nd-avenue-queens-ny-11435/1556374984254503801/view?agent_id=610d3f3370540700019b0833","138-61 102nd Avenue")</f>
        <v>138-61 102nd Avenue</v>
      </c>
      <c r="C178" s="26" t="s">
        <v>35</v>
      </c>
      <c r="D178" s="27" t="s">
        <v>23</v>
      </c>
      <c r="E178" s="28" t="str">
        <f>HYPERLINK("https://www.compass.com/building/138-61-102nd-ave-queens-ny-11435/293533665806350389/","138-61 102nd Ave")</f>
        <v>138-61 102nd Ave</v>
      </c>
      <c r="F178" s="26" t="s">
        <v>24</v>
      </c>
      <c r="G178" s="29">
        <v>120000.0</v>
      </c>
      <c r="H178" s="34"/>
      <c r="I178" s="29">
        <v>225.0</v>
      </c>
      <c r="J178" s="29">
        <v>2703.0</v>
      </c>
      <c r="K178" s="26" t="s">
        <v>32</v>
      </c>
      <c r="L178" s="27">
        <v>7.0</v>
      </c>
      <c r="M178" s="27">
        <v>3.0</v>
      </c>
      <c r="N178" s="27">
        <v>1.0</v>
      </c>
      <c r="O178" s="30"/>
      <c r="P178" s="30"/>
      <c r="Q178" s="32">
        <v>42.0</v>
      </c>
      <c r="R178" s="33">
        <v>45597.0</v>
      </c>
      <c r="S178" s="33">
        <v>41299.0</v>
      </c>
      <c r="T178" s="29">
        <v>120000.0</v>
      </c>
      <c r="U178" s="33">
        <v>41424.0</v>
      </c>
      <c r="V178" s="1"/>
    </row>
    <row r="179" ht="24.0" customHeight="1">
      <c r="A179" s="1"/>
      <c r="B179" s="25" t="str">
        <f>HYPERLINK("https://www.compass.com/listing/145-19-106th-avenue-queens-ny-11435/31101836551302049/view?agent_id=610d3f3370540700019b0833","145-19 106th Avenue")</f>
        <v>145-19 106th Avenue</v>
      </c>
      <c r="C179" s="26" t="s">
        <v>35</v>
      </c>
      <c r="D179" s="27" t="s">
        <v>23</v>
      </c>
      <c r="E179" s="28" t="str">
        <f>HYPERLINK("https://www.compass.com/building/145-19-106th-ave-queens-ny-11435/293530721111300437/","145-19 106th Ave")</f>
        <v>145-19 106th Ave</v>
      </c>
      <c r="F179" s="26" t="s">
        <v>24</v>
      </c>
      <c r="G179" s="29">
        <v>160000.0</v>
      </c>
      <c r="H179" s="34"/>
      <c r="I179" s="29">
        <v>260.0</v>
      </c>
      <c r="J179" s="29">
        <v>3121.0</v>
      </c>
      <c r="K179" s="26" t="s">
        <v>32</v>
      </c>
      <c r="L179" s="27">
        <v>7.0</v>
      </c>
      <c r="M179" s="27">
        <v>3.0</v>
      </c>
      <c r="N179" s="27">
        <v>1.0</v>
      </c>
      <c r="O179" s="30"/>
      <c r="P179" s="30"/>
      <c r="Q179" s="32">
        <v>42.0</v>
      </c>
      <c r="R179" s="33">
        <v>45597.0</v>
      </c>
      <c r="S179" s="33">
        <v>42900.0</v>
      </c>
      <c r="T179" s="29">
        <v>160000.0</v>
      </c>
      <c r="U179" s="33">
        <v>43147.0</v>
      </c>
      <c r="V179" s="1"/>
    </row>
    <row r="180" ht="24.0" customHeight="1">
      <c r="A180" s="1"/>
      <c r="B180" s="25" t="str">
        <f>HYPERLINK("https://www.compass.com/listing/147-12-111th-avenue-queens-ny-11435/118009912038014353/view?agent_id=610d3f3370540700019b0833","147-12 111th Avenue")</f>
        <v>147-12 111th Avenue</v>
      </c>
      <c r="C180" s="26" t="s">
        <v>35</v>
      </c>
      <c r="D180" s="27" t="s">
        <v>23</v>
      </c>
      <c r="E180" s="28" t="str">
        <f>HYPERLINK("https://www.compass.com/building/147-12-111th-ave-queens-ny-11435/293527557867869365/","147-12 111th Ave")</f>
        <v>147-12 111th Ave</v>
      </c>
      <c r="F180" s="26" t="s">
        <v>24</v>
      </c>
      <c r="G180" s="29">
        <v>535000.0</v>
      </c>
      <c r="H180" s="29">
        <v>348.0</v>
      </c>
      <c r="I180" s="29">
        <v>226.0</v>
      </c>
      <c r="J180" s="29">
        <v>2714.0</v>
      </c>
      <c r="K180" s="26" t="s">
        <v>36</v>
      </c>
      <c r="L180" s="27">
        <v>11.0</v>
      </c>
      <c r="M180" s="27">
        <v>3.0</v>
      </c>
      <c r="N180" s="27">
        <v>1.0</v>
      </c>
      <c r="O180" s="30"/>
      <c r="P180" s="31">
        <v>1536.0</v>
      </c>
      <c r="Q180" s="32">
        <v>34.0</v>
      </c>
      <c r="R180" s="33">
        <v>45627.0</v>
      </c>
      <c r="S180" s="33">
        <v>43326.0</v>
      </c>
      <c r="T180" s="29">
        <v>535000.0</v>
      </c>
      <c r="U180" s="33">
        <v>43406.0</v>
      </c>
      <c r="V180" s="1"/>
    </row>
    <row r="181" ht="24.0" customHeight="1">
      <c r="A181" s="1"/>
      <c r="B181" s="25" t="str">
        <f>HYPERLINK("https://www.compass.com/listing/109-09-pinegrove-street-queens-ny-11435/121672707099094001/view?agent_id=610d3f3370540700019b0833","109-09 Pinegrove Street")</f>
        <v>109-09 Pinegrove Street</v>
      </c>
      <c r="C181" s="26" t="s">
        <v>35</v>
      </c>
      <c r="D181" s="27" t="s">
        <v>23</v>
      </c>
      <c r="E181" s="28" t="str">
        <f>HYPERLINK("https://www.compass.com/building/109-09-pinegrove-st-queens-ny-11435/293534304045197941/","109-09 Pinegrove St")</f>
        <v>109-09 Pinegrove St</v>
      </c>
      <c r="F181" s="26" t="s">
        <v>24</v>
      </c>
      <c r="G181" s="29">
        <v>625000.0</v>
      </c>
      <c r="H181" s="29">
        <v>263.0</v>
      </c>
      <c r="I181" s="29">
        <v>3768.0</v>
      </c>
      <c r="J181" s="29">
        <v>45216.0</v>
      </c>
      <c r="K181" s="26" t="s">
        <v>32</v>
      </c>
      <c r="L181" s="27">
        <v>6.0</v>
      </c>
      <c r="M181" s="27">
        <v>3.0</v>
      </c>
      <c r="N181" s="30"/>
      <c r="O181" s="30"/>
      <c r="P181" s="31">
        <v>2375.0</v>
      </c>
      <c r="Q181" s="32">
        <v>0.0</v>
      </c>
      <c r="R181" s="33">
        <v>43602.0</v>
      </c>
      <c r="S181" s="33">
        <v>43419.0</v>
      </c>
      <c r="T181" s="29">
        <v>625000.0</v>
      </c>
      <c r="U181" s="33">
        <v>43818.0</v>
      </c>
      <c r="V181" s="1"/>
    </row>
    <row r="182" ht="24.0" customHeight="1">
      <c r="A182" s="1"/>
      <c r="B182" s="25" t="str">
        <f>HYPERLINK("https://www.compass.com/listing/87-74-146th-street-queens-ny-11435/1729335192800622761/view?agent_id=610d3f3370540700019b0833","87-74 146th Street")</f>
        <v>87-74 146th Street</v>
      </c>
      <c r="C182" s="26" t="s">
        <v>35</v>
      </c>
      <c r="D182" s="27" t="s">
        <v>23</v>
      </c>
      <c r="E182" s="28" t="str">
        <f>HYPERLINK("https://www.compass.com/building/87-74-146th-st-queens-ny-11435/293530353782533829/","87-74 146th St")</f>
        <v>87-74 146th St</v>
      </c>
      <c r="F182" s="26" t="s">
        <v>24</v>
      </c>
      <c r="G182" s="29">
        <v>630000.0</v>
      </c>
      <c r="H182" s="34"/>
      <c r="I182" s="29">
        <v>439.0</v>
      </c>
      <c r="J182" s="29">
        <v>5263.0</v>
      </c>
      <c r="K182" s="26" t="s">
        <v>32</v>
      </c>
      <c r="L182" s="27">
        <v>7.0</v>
      </c>
      <c r="M182" s="27">
        <v>3.0</v>
      </c>
      <c r="N182" s="27">
        <v>1.0</v>
      </c>
      <c r="O182" s="30"/>
      <c r="P182" s="30"/>
      <c r="Q182" s="32">
        <v>262.0</v>
      </c>
      <c r="R182" s="33">
        <v>45637.0</v>
      </c>
      <c r="S182" s="33">
        <v>43897.0</v>
      </c>
      <c r="T182" s="29">
        <v>630000.0</v>
      </c>
      <c r="U182" s="33">
        <v>44159.0</v>
      </c>
      <c r="V182" s="1"/>
    </row>
    <row r="183" ht="24.0" customHeight="1">
      <c r="A183" s="1"/>
      <c r="B183" s="25" t="str">
        <f>HYPERLINK("https://www.compass.com/listing/104-25-142nd-street-queens-ny-11435/1730514862850575329/view?agent_id=610d3f3370540700019b0833","104-25 142nd Street")</f>
        <v>104-25 142nd Street</v>
      </c>
      <c r="C183" s="26" t="s">
        <v>35</v>
      </c>
      <c r="D183" s="27" t="s">
        <v>23</v>
      </c>
      <c r="E183" s="28" t="str">
        <f>HYPERLINK("https://www.compass.com/building/104-25-142nd-st-queens-ny-11435/293528708659139061/","104-25 142nd St")</f>
        <v>104-25 142nd St</v>
      </c>
      <c r="F183" s="26" t="s">
        <v>24</v>
      </c>
      <c r="G183" s="29">
        <v>340000.0</v>
      </c>
      <c r="H183" s="34"/>
      <c r="I183" s="29">
        <v>155.0</v>
      </c>
      <c r="J183" s="29">
        <v>1854.0</v>
      </c>
      <c r="K183" s="26" t="s">
        <v>32</v>
      </c>
      <c r="L183" s="27">
        <v>6.0</v>
      </c>
      <c r="M183" s="27">
        <v>3.0</v>
      </c>
      <c r="N183" s="27">
        <v>1.0</v>
      </c>
      <c r="O183" s="30"/>
      <c r="P183" s="30"/>
      <c r="Q183" s="32">
        <v>36.0</v>
      </c>
      <c r="R183" s="33">
        <v>45624.0</v>
      </c>
      <c r="S183" s="33">
        <v>41863.0</v>
      </c>
      <c r="T183" s="29">
        <v>340000.0</v>
      </c>
      <c r="U183" s="33">
        <v>42030.0</v>
      </c>
      <c r="V183" s="1"/>
    </row>
    <row r="184" ht="24.0" customHeight="1">
      <c r="A184" s="1"/>
      <c r="B184" s="25" t="str">
        <f>HYPERLINK("https://www.compass.com/listing/97-14-148th-street-queens-ny-11435/197750764381273553/view?agent_id=610d3f3370540700019b0833","97-14 148th Street")</f>
        <v>97-14 148th Street</v>
      </c>
      <c r="C184" s="26" t="s">
        <v>35</v>
      </c>
      <c r="D184" s="27" t="s">
        <v>23</v>
      </c>
      <c r="E184" s="28" t="str">
        <f>HYPERLINK("https://www.compass.com/building/97-14-148th-st-queens-ny-11435/293527812747302869/","97-14 148th St")</f>
        <v>97-14 148th St</v>
      </c>
      <c r="F184" s="26" t="s">
        <v>24</v>
      </c>
      <c r="G184" s="29">
        <v>390000.0</v>
      </c>
      <c r="H184" s="34"/>
      <c r="I184" s="29">
        <v>176.0</v>
      </c>
      <c r="J184" s="29">
        <v>2116.0</v>
      </c>
      <c r="K184" s="26" t="s">
        <v>36</v>
      </c>
      <c r="L184" s="27">
        <v>5.0</v>
      </c>
      <c r="M184" s="27">
        <v>3.0</v>
      </c>
      <c r="N184" s="27">
        <v>1.0</v>
      </c>
      <c r="O184" s="27">
        <v>0.0</v>
      </c>
      <c r="P184" s="30"/>
      <c r="Q184" s="32">
        <v>159.0</v>
      </c>
      <c r="R184" s="33">
        <v>45624.0</v>
      </c>
      <c r="S184" s="33">
        <v>42066.0</v>
      </c>
      <c r="T184" s="29">
        <v>390000.0</v>
      </c>
      <c r="U184" s="33">
        <v>42331.0</v>
      </c>
      <c r="V184" s="1"/>
    </row>
    <row r="185" ht="24.0" customHeight="1">
      <c r="A185" s="1"/>
      <c r="B185" s="25" t="str">
        <f>HYPERLINK("https://www.compass.com/listing/111-56-inwood-street-queens-ny-11435/29139659409870401/view?agent_id=610d3f3370540700019b0833","111-56 Inwood Street")</f>
        <v>111-56 Inwood Street</v>
      </c>
      <c r="C185" s="26" t="s">
        <v>35</v>
      </c>
      <c r="D185" s="27" t="s">
        <v>23</v>
      </c>
      <c r="E185" s="28" t="str">
        <f>HYPERLINK("https://www.compass.com/building/111-56-inwood-st-queens-ny-11435/293528909390097269/","111-56 Inwood St")</f>
        <v>111-56 Inwood St</v>
      </c>
      <c r="F185" s="26" t="s">
        <v>24</v>
      </c>
      <c r="G185" s="29">
        <v>152000.0</v>
      </c>
      <c r="H185" s="34"/>
      <c r="I185" s="29">
        <v>249.0</v>
      </c>
      <c r="J185" s="29">
        <v>2993.0</v>
      </c>
      <c r="K185" s="26" t="s">
        <v>32</v>
      </c>
      <c r="L185" s="27">
        <v>5.0</v>
      </c>
      <c r="M185" s="27">
        <v>3.0</v>
      </c>
      <c r="N185" s="27">
        <v>1.0</v>
      </c>
      <c r="O185" s="27">
        <v>0.0</v>
      </c>
      <c r="P185" s="30"/>
      <c r="Q185" s="32">
        <v>416.0</v>
      </c>
      <c r="R185" s="33">
        <v>45617.0</v>
      </c>
      <c r="S185" s="33">
        <v>41978.0</v>
      </c>
      <c r="T185" s="29">
        <v>152000.0</v>
      </c>
      <c r="U185" s="33">
        <v>42429.0</v>
      </c>
      <c r="V185" s="1"/>
    </row>
    <row r="186" ht="24.0" customHeight="1">
      <c r="A186" s="1"/>
      <c r="B186" s="25" t="str">
        <f>HYPERLINK("https://www.compass.com/listing/109-27-142nd-street-queens-ny-11435/794887111740657361/view?agent_id=610d3f3370540700019b0833","109-27 142nd Street")</f>
        <v>109-27 142nd Street</v>
      </c>
      <c r="C186" s="26" t="s">
        <v>35</v>
      </c>
      <c r="D186" s="27" t="s">
        <v>23</v>
      </c>
      <c r="E186" s="28" t="str">
        <f>HYPERLINK("https://www.compass.com/building/109-27-142nd-st-queens-ny-11435/293528508481700293/","109-27 142nd St")</f>
        <v>109-27 142nd St</v>
      </c>
      <c r="F186" s="26" t="s">
        <v>24</v>
      </c>
      <c r="G186" s="29">
        <v>510000.0</v>
      </c>
      <c r="H186" s="34"/>
      <c r="I186" s="29">
        <v>369.0</v>
      </c>
      <c r="J186" s="29">
        <v>4422.0</v>
      </c>
      <c r="K186" s="26" t="s">
        <v>32</v>
      </c>
      <c r="L186" s="27">
        <v>8.0</v>
      </c>
      <c r="M186" s="27">
        <v>3.0</v>
      </c>
      <c r="N186" s="27">
        <v>1.0</v>
      </c>
      <c r="O186" s="30"/>
      <c r="P186" s="30"/>
      <c r="Q186" s="32">
        <v>121.0</v>
      </c>
      <c r="R186" s="33">
        <v>45617.0</v>
      </c>
      <c r="S186" s="33">
        <v>44348.0</v>
      </c>
      <c r="T186" s="29">
        <v>510000.0</v>
      </c>
      <c r="U186" s="33">
        <v>44512.0</v>
      </c>
      <c r="V186" s="1"/>
    </row>
    <row r="187" ht="24.0" customHeight="1">
      <c r="A187" s="1"/>
      <c r="B187" s="25" t="str">
        <f>HYPERLINK("https://www.compass.com/listing/111-30-inwood-street-queens-ny-11435/502690779584651361/view?agent_id=610d3f3370540700019b0833","111-30 Inwood Street")</f>
        <v>111-30 Inwood Street</v>
      </c>
      <c r="C187" s="26" t="s">
        <v>35</v>
      </c>
      <c r="D187" s="27" t="s">
        <v>23</v>
      </c>
      <c r="E187" s="28" t="str">
        <f>HYPERLINK("https://www.compass.com/building/111-30-inwood-st-queens-ny-11435/293529907860982213/","111-30 Inwood St")</f>
        <v>111-30 Inwood St</v>
      </c>
      <c r="F187" s="26" t="s">
        <v>24</v>
      </c>
      <c r="G187" s="29">
        <v>327000.0</v>
      </c>
      <c r="H187" s="34"/>
      <c r="I187" s="29">
        <v>343.0</v>
      </c>
      <c r="J187" s="29">
        <v>4121.0</v>
      </c>
      <c r="K187" s="26" t="s">
        <v>32</v>
      </c>
      <c r="L187" s="27">
        <v>6.0</v>
      </c>
      <c r="M187" s="27">
        <v>3.0</v>
      </c>
      <c r="N187" s="27">
        <v>1.0</v>
      </c>
      <c r="O187" s="30"/>
      <c r="P187" s="30"/>
      <c r="Q187" s="32">
        <v>29.0</v>
      </c>
      <c r="R187" s="33">
        <v>45628.0</v>
      </c>
      <c r="S187" s="33">
        <v>43649.0</v>
      </c>
      <c r="T187" s="29">
        <v>327000.0</v>
      </c>
      <c r="U187" s="33">
        <v>43704.0</v>
      </c>
      <c r="V187" s="1"/>
    </row>
    <row r="188" ht="24.0" customHeight="1">
      <c r="A188" s="1"/>
      <c r="B188" s="25" t="str">
        <f>HYPERLINK("https://www.compass.com/listing/104-35-142nd-street-queens-ny-11435/1221197819146352881/view?agent_id=610d3f3370540700019b0833","104-35 142nd Street")</f>
        <v>104-35 142nd Street</v>
      </c>
      <c r="C188" s="26" t="s">
        <v>35</v>
      </c>
      <c r="D188" s="27" t="s">
        <v>23</v>
      </c>
      <c r="E188" s="28" t="str">
        <f>HYPERLINK("https://www.compass.com/building/104-35-142nd-st-queens-ny-11435/293527518701441541/","104-35 142nd St")</f>
        <v>104-35 142nd St</v>
      </c>
      <c r="F188" s="26" t="s">
        <v>24</v>
      </c>
      <c r="G188" s="29">
        <v>359970.0</v>
      </c>
      <c r="H188" s="29">
        <v>275.0</v>
      </c>
      <c r="I188" s="29">
        <v>313.0</v>
      </c>
      <c r="J188" s="29">
        <v>3754.0</v>
      </c>
      <c r="K188" s="26" t="s">
        <v>32</v>
      </c>
      <c r="L188" s="27">
        <v>6.0</v>
      </c>
      <c r="M188" s="27">
        <v>3.0</v>
      </c>
      <c r="N188" s="27">
        <v>1.0</v>
      </c>
      <c r="O188" s="30"/>
      <c r="P188" s="31">
        <v>1308.0</v>
      </c>
      <c r="Q188" s="32">
        <v>20.0</v>
      </c>
      <c r="R188" s="33">
        <v>45617.0</v>
      </c>
      <c r="S188" s="33">
        <v>44936.0</v>
      </c>
      <c r="T188" s="29">
        <v>359970.0</v>
      </c>
      <c r="U188" s="33">
        <v>44985.0</v>
      </c>
      <c r="V188" s="1"/>
    </row>
    <row r="189" ht="24.0" customHeight="1">
      <c r="A189" s="1"/>
      <c r="B189" s="25" t="str">
        <f>HYPERLINK("https://www.compass.com/listing/139-02-109th-road-queens-ny-11435/907950910894716345/view?agent_id=610d3f3370540700019b0833","139-02 109th Road")</f>
        <v>139-02 109th Road</v>
      </c>
      <c r="C189" s="26" t="s">
        <v>35</v>
      </c>
      <c r="D189" s="27" t="s">
        <v>23</v>
      </c>
      <c r="E189" s="28" t="str">
        <f>HYPERLINK("https://www.compass.com/building/139-02-109th-rd-queens-ny-11435/293534090831863765/","139-02 109th Rd")</f>
        <v>139-02 109th Rd</v>
      </c>
      <c r="F189" s="26" t="s">
        <v>24</v>
      </c>
      <c r="G189" s="29">
        <v>540000.0</v>
      </c>
      <c r="H189" s="34"/>
      <c r="I189" s="29">
        <v>319.0</v>
      </c>
      <c r="J189" s="29">
        <v>3830.0</v>
      </c>
      <c r="K189" s="26" t="s">
        <v>32</v>
      </c>
      <c r="L189" s="27">
        <v>7.0</v>
      </c>
      <c r="M189" s="27">
        <v>3.0</v>
      </c>
      <c r="N189" s="27">
        <v>1.0</v>
      </c>
      <c r="O189" s="30"/>
      <c r="P189" s="30"/>
      <c r="Q189" s="32">
        <v>15.0</v>
      </c>
      <c r="R189" s="33">
        <v>45597.0</v>
      </c>
      <c r="S189" s="33">
        <v>44503.0</v>
      </c>
      <c r="T189" s="29">
        <v>540000.0</v>
      </c>
      <c r="U189" s="33">
        <v>44645.0</v>
      </c>
      <c r="V189" s="1"/>
    </row>
    <row r="190" ht="24.0" customHeight="1">
      <c r="A190" s="1"/>
      <c r="B190" s="25" t="str">
        <f>HYPERLINK("https://www.compass.com/listing/91-20-139th-street-queens-ny-11435/1243846232424981129/view?agent_id=610d3f3370540700019b0833","91-20 139th Street")</f>
        <v>91-20 139th Street</v>
      </c>
      <c r="C190" s="26" t="s">
        <v>35</v>
      </c>
      <c r="D190" s="27" t="s">
        <v>23</v>
      </c>
      <c r="E190" s="28" t="str">
        <f>HYPERLINK("https://www.compass.com/building/91-20-139th-st-queens-ny-11435/293528783233768117/","91-20 139th St")</f>
        <v>91-20 139th St</v>
      </c>
      <c r="F190" s="26" t="s">
        <v>24</v>
      </c>
      <c r="G190" s="29">
        <v>465000.0</v>
      </c>
      <c r="H190" s="34"/>
      <c r="I190" s="29">
        <v>362.0</v>
      </c>
      <c r="J190" s="29">
        <v>4349.0</v>
      </c>
      <c r="K190" s="26" t="s">
        <v>32</v>
      </c>
      <c r="L190" s="27">
        <v>5.0</v>
      </c>
      <c r="M190" s="27">
        <v>3.0</v>
      </c>
      <c r="N190" s="27">
        <v>1.0</v>
      </c>
      <c r="O190" s="30"/>
      <c r="P190" s="30"/>
      <c r="Q190" s="32">
        <v>71.0</v>
      </c>
      <c r="R190" s="33">
        <v>45597.0</v>
      </c>
      <c r="S190" s="33">
        <v>44967.0</v>
      </c>
      <c r="T190" s="29">
        <v>465000.0</v>
      </c>
      <c r="U190" s="33">
        <v>45159.0</v>
      </c>
      <c r="V190" s="1"/>
    </row>
    <row r="191" ht="24.0" customHeight="1">
      <c r="A191" s="1"/>
      <c r="B191" s="25" t="str">
        <f>HYPERLINK("https://www.compass.com/listing/107-01-princeton-street-queens-ny-11435/1749528339423497689/view?agent_id=610d3f3370540700019b0833","107-01 Princeton Street")</f>
        <v>107-01 Princeton Street</v>
      </c>
      <c r="C191" s="26" t="s">
        <v>35</v>
      </c>
      <c r="D191" s="27" t="s">
        <v>23</v>
      </c>
      <c r="E191" s="28" t="str">
        <f>HYPERLINK("https://www.compass.com/building/107-01-princeton-st-queens-ny-11435/293529636019636629/","107-01 Princeton St")</f>
        <v>107-01 Princeton St</v>
      </c>
      <c r="F191" s="26" t="s">
        <v>24</v>
      </c>
      <c r="G191" s="29">
        <v>525000.0</v>
      </c>
      <c r="H191" s="29">
        <v>373.0</v>
      </c>
      <c r="I191" s="29">
        <v>345.0</v>
      </c>
      <c r="J191" s="29">
        <v>4145.0</v>
      </c>
      <c r="K191" s="26" t="s">
        <v>32</v>
      </c>
      <c r="L191" s="27">
        <v>7.0</v>
      </c>
      <c r="M191" s="27">
        <v>3.0</v>
      </c>
      <c r="N191" s="27">
        <v>1.0</v>
      </c>
      <c r="O191" s="30"/>
      <c r="P191" s="31">
        <v>1406.0</v>
      </c>
      <c r="Q191" s="32">
        <v>41.0</v>
      </c>
      <c r="R191" s="33">
        <v>45745.0</v>
      </c>
      <c r="S191" s="33">
        <v>45665.0</v>
      </c>
      <c r="T191" s="29">
        <v>525000.0</v>
      </c>
      <c r="U191" s="33">
        <v>45744.0</v>
      </c>
      <c r="V191" s="1"/>
    </row>
    <row r="192" ht="24.0" customHeight="1">
      <c r="A192" s="1"/>
      <c r="B192" s="25" t="str">
        <f>HYPERLINK("https://www.compass.com/listing/106-43-pinegrove-street-queens-ny-11435/1556350978809799137/view?agent_id=610d3f3370540700019b0833","106-43 Pinegrove Street")</f>
        <v>106-43 Pinegrove Street</v>
      </c>
      <c r="C192" s="26" t="s">
        <v>35</v>
      </c>
      <c r="D192" s="27" t="s">
        <v>23</v>
      </c>
      <c r="E192" s="28" t="str">
        <f>HYPERLINK("https://www.compass.com/building/106-43-pinegrove-st-queens-ny-11435/293526769338792565/","106-43 Pinegrove St")</f>
        <v>106-43 Pinegrove St</v>
      </c>
      <c r="F192" s="26" t="s">
        <v>24</v>
      </c>
      <c r="G192" s="29">
        <v>188000.0</v>
      </c>
      <c r="H192" s="34"/>
      <c r="I192" s="29">
        <v>147.0</v>
      </c>
      <c r="J192" s="29">
        <v>1764.0</v>
      </c>
      <c r="K192" s="26" t="s">
        <v>32</v>
      </c>
      <c r="L192" s="27">
        <v>6.0</v>
      </c>
      <c r="M192" s="27">
        <v>3.0</v>
      </c>
      <c r="N192" s="27">
        <v>1.0</v>
      </c>
      <c r="O192" s="30"/>
      <c r="P192" s="30"/>
      <c r="Q192" s="32">
        <v>147.0</v>
      </c>
      <c r="R192" s="33">
        <v>45597.0</v>
      </c>
      <c r="S192" s="33">
        <v>41536.0</v>
      </c>
      <c r="T192" s="29">
        <v>188000.0</v>
      </c>
      <c r="U192" s="33">
        <v>41879.0</v>
      </c>
      <c r="V192" s="1"/>
    </row>
    <row r="193" ht="24.0" customHeight="1">
      <c r="A193" s="1"/>
      <c r="B193" s="25" t="str">
        <f>HYPERLINK("https://www.compass.com/listing/107-47-139th-street-queens-ny-11435/1730617059113968057/view?agent_id=610d3f3370540700019b0833","107-47 139th Street")</f>
        <v>107-47 139th Street</v>
      </c>
      <c r="C193" s="26" t="s">
        <v>35</v>
      </c>
      <c r="D193" s="27" t="s">
        <v>23</v>
      </c>
      <c r="E193" s="28" t="str">
        <f>HYPERLINK("https://www.compass.com/building/107-47-139th-st-queens-ny-11435/293535171284624133/","107-47 139th St")</f>
        <v>107-47 139th St</v>
      </c>
      <c r="F193" s="26" t="s">
        <v>24</v>
      </c>
      <c r="G193" s="29">
        <v>210000.0</v>
      </c>
      <c r="H193" s="29">
        <v>1200.0</v>
      </c>
      <c r="I193" s="29">
        <v>166.0</v>
      </c>
      <c r="J193" s="29">
        <v>1994.0</v>
      </c>
      <c r="K193" s="26" t="s">
        <v>32</v>
      </c>
      <c r="L193" s="27">
        <v>6.0</v>
      </c>
      <c r="M193" s="27">
        <v>3.0</v>
      </c>
      <c r="N193" s="27">
        <v>1.0</v>
      </c>
      <c r="O193" s="30"/>
      <c r="P193" s="27">
        <v>175.0</v>
      </c>
      <c r="Q193" s="32">
        <v>181.0</v>
      </c>
      <c r="R193" s="33">
        <v>45617.0</v>
      </c>
      <c r="S193" s="33">
        <v>41536.0</v>
      </c>
      <c r="T193" s="29">
        <v>210000.0</v>
      </c>
      <c r="U193" s="33">
        <v>41765.0</v>
      </c>
      <c r="V193" s="1"/>
    </row>
    <row r="194" ht="24.0" customHeight="1">
      <c r="A194" s="1"/>
      <c r="B194" s="25" t="str">
        <f>HYPERLINK("https://www.compass.com/listing/145-60-tuskegee-airmen-way-queens-ny-11435/197765597176564401/view?agent_id=610d3f3370540700019b0833","145-60 Tuskegee Airmen Way")</f>
        <v>145-60 Tuskegee Airmen Way</v>
      </c>
      <c r="C194" s="26" t="s">
        <v>35</v>
      </c>
      <c r="D194" s="27" t="s">
        <v>23</v>
      </c>
      <c r="E194" s="28" t="str">
        <f>HYPERLINK("https://www.compass.com/building/145-60-tuskegee-airmen-way-queens-ny-11435/293530747845805493/","145-60 Tuskegee Airmen Way")</f>
        <v>145-60 Tuskegee Airmen Way</v>
      </c>
      <c r="F194" s="26" t="s">
        <v>24</v>
      </c>
      <c r="G194" s="29">
        <v>300000.0</v>
      </c>
      <c r="H194" s="34"/>
      <c r="I194" s="29">
        <v>318.0</v>
      </c>
      <c r="J194" s="29">
        <v>3815.0</v>
      </c>
      <c r="K194" s="26" t="s">
        <v>36</v>
      </c>
      <c r="L194" s="27">
        <v>6.0</v>
      </c>
      <c r="M194" s="27">
        <v>3.0</v>
      </c>
      <c r="N194" s="27">
        <v>1.0</v>
      </c>
      <c r="O194" s="30"/>
      <c r="P194" s="30"/>
      <c r="Q194" s="32">
        <v>95.0</v>
      </c>
      <c r="R194" s="33">
        <v>45626.0</v>
      </c>
      <c r="S194" s="33">
        <v>43125.0</v>
      </c>
      <c r="T194" s="29">
        <v>300000.0</v>
      </c>
      <c r="U194" s="33">
        <v>43236.0</v>
      </c>
      <c r="V194" s="1"/>
    </row>
    <row r="195" ht="24.0" customHeight="1">
      <c r="A195" s="1"/>
      <c r="B195" s="25" t="str">
        <f>HYPERLINK("https://www.compass.com/listing/139-38-88th-road-queens-ny-11435/1556359241378776481/view?agent_id=610d3f3370540700019b0833","139-38 88th Road")</f>
        <v>139-38 88th Road</v>
      </c>
      <c r="C195" s="26" t="s">
        <v>35</v>
      </c>
      <c r="D195" s="27" t="s">
        <v>23</v>
      </c>
      <c r="E195" s="28" t="str">
        <f>HYPERLINK("https://www.compass.com/building/139-38-88th-rd-queens-ny-11435/293529372516696229/","139-38 88th Rd")</f>
        <v>139-38 88th Rd</v>
      </c>
      <c r="F195" s="26" t="s">
        <v>24</v>
      </c>
      <c r="G195" s="29">
        <v>419000.0</v>
      </c>
      <c r="H195" s="34"/>
      <c r="I195" s="29">
        <v>246.0</v>
      </c>
      <c r="J195" s="29">
        <v>2950.0</v>
      </c>
      <c r="K195" s="26" t="s">
        <v>32</v>
      </c>
      <c r="L195" s="27">
        <v>8.0</v>
      </c>
      <c r="M195" s="27">
        <v>3.0</v>
      </c>
      <c r="N195" s="27">
        <v>1.0</v>
      </c>
      <c r="O195" s="30"/>
      <c r="P195" s="30"/>
      <c r="Q195" s="32">
        <v>248.0</v>
      </c>
      <c r="R195" s="33">
        <v>45597.0</v>
      </c>
      <c r="S195" s="33">
        <v>41319.0</v>
      </c>
      <c r="T195" s="29">
        <v>419000.0</v>
      </c>
      <c r="U195" s="33">
        <v>41688.0</v>
      </c>
      <c r="V195" s="1"/>
    </row>
    <row r="196" ht="24.0" customHeight="1">
      <c r="A196" s="1"/>
      <c r="B196" s="25" t="str">
        <f>HYPERLINK("https://www.compass.com/listing/111-20-inwood-street-queens-ny-11435/29139649880417713/view?agent_id=610d3f3370540700019b0833","111-20 Inwood Street")</f>
        <v>111-20 Inwood Street</v>
      </c>
      <c r="C196" s="26" t="s">
        <v>35</v>
      </c>
      <c r="D196" s="27" t="s">
        <v>23</v>
      </c>
      <c r="E196" s="28" t="str">
        <f>HYPERLINK("https://www.compass.com/building/111-20-inwood-st-queens-ny-11435/293533849625859477/","111-20 Inwood St")</f>
        <v>111-20 Inwood St</v>
      </c>
      <c r="F196" s="26" t="s">
        <v>24</v>
      </c>
      <c r="G196" s="29">
        <v>475000.0</v>
      </c>
      <c r="H196" s="34"/>
      <c r="I196" s="29">
        <v>258.0</v>
      </c>
      <c r="J196" s="29">
        <v>3092.0</v>
      </c>
      <c r="K196" s="26" t="s">
        <v>32</v>
      </c>
      <c r="L196" s="27">
        <v>6.0</v>
      </c>
      <c r="M196" s="27">
        <v>3.0</v>
      </c>
      <c r="N196" s="27">
        <v>1.0</v>
      </c>
      <c r="O196" s="30"/>
      <c r="P196" s="30"/>
      <c r="Q196" s="32">
        <v>23.0</v>
      </c>
      <c r="R196" s="33">
        <v>45617.0</v>
      </c>
      <c r="S196" s="33">
        <v>42927.0</v>
      </c>
      <c r="T196" s="29">
        <v>475000.0</v>
      </c>
      <c r="U196" s="33">
        <v>43025.0</v>
      </c>
      <c r="V196" s="1"/>
    </row>
    <row r="197" ht="24.0" customHeight="1">
      <c r="A197" s="1"/>
      <c r="B197" s="25" t="str">
        <f>HYPERLINK("https://www.compass.com/listing/147-34-110th-road-queens-ny-11435/29139579189643297/view?agent_id=610d3f3370540700019b0833","147-34 110th Rd")</f>
        <v>147-34 110th Rd</v>
      </c>
      <c r="C197" s="26" t="s">
        <v>35</v>
      </c>
      <c r="D197" s="27" t="s">
        <v>23</v>
      </c>
      <c r="E197" s="28" t="str">
        <f>HYPERLINK("https://www.compass.com/building/147-34-110th-rd-queens-ny-11435/293528763596028405/","147-34 110th Rd")</f>
        <v>147-34 110th Rd</v>
      </c>
      <c r="F197" s="26" t="s">
        <v>24</v>
      </c>
      <c r="G197" s="29">
        <v>230000.0</v>
      </c>
      <c r="H197" s="29">
        <v>160.0</v>
      </c>
      <c r="I197" s="29">
        <v>192.0</v>
      </c>
      <c r="J197" s="29">
        <v>2300.0</v>
      </c>
      <c r="K197" s="26" t="s">
        <v>32</v>
      </c>
      <c r="L197" s="30"/>
      <c r="M197" s="27">
        <v>3.0</v>
      </c>
      <c r="N197" s="27">
        <v>1.0</v>
      </c>
      <c r="O197" s="27">
        <v>0.0</v>
      </c>
      <c r="P197" s="31">
        <v>1440.0</v>
      </c>
      <c r="Q197" s="32">
        <v>86.0</v>
      </c>
      <c r="R197" s="33">
        <v>42916.0</v>
      </c>
      <c r="S197" s="33">
        <v>42242.0</v>
      </c>
      <c r="T197" s="29">
        <v>230000.0</v>
      </c>
      <c r="U197" s="33">
        <v>42915.0</v>
      </c>
      <c r="V197" s="1"/>
    </row>
    <row r="198" ht="24.0" customHeight="1">
      <c r="A198" s="1"/>
      <c r="B198" s="25" t="str">
        <f>HYPERLINK("https://www.compass.com/listing/111-51-143rd-street-queens-ny-11435/1556400301140610345/view?agent_id=610d3f3370540700019b0833","111-51 143rd Street")</f>
        <v>111-51 143rd Street</v>
      </c>
      <c r="C198" s="26" t="s">
        <v>35</v>
      </c>
      <c r="D198" s="27" t="s">
        <v>23</v>
      </c>
      <c r="E198" s="28" t="str">
        <f>HYPERLINK("https://www.compass.com/building/111-51-143rd-st-queens-ny-11435/293417351750093461/","111-51 143rd St")</f>
        <v>111-51 143rd St</v>
      </c>
      <c r="F198" s="26" t="s">
        <v>24</v>
      </c>
      <c r="G198" s="29">
        <v>190000.0</v>
      </c>
      <c r="H198" s="34"/>
      <c r="I198" s="29">
        <v>158.0</v>
      </c>
      <c r="J198" s="29">
        <v>1890.0</v>
      </c>
      <c r="K198" s="26" t="s">
        <v>32</v>
      </c>
      <c r="L198" s="27">
        <v>6.0</v>
      </c>
      <c r="M198" s="27">
        <v>3.0</v>
      </c>
      <c r="N198" s="27">
        <v>1.0</v>
      </c>
      <c r="O198" s="30"/>
      <c r="P198" s="30"/>
      <c r="Q198" s="32">
        <v>72.0</v>
      </c>
      <c r="R198" s="33">
        <v>45597.0</v>
      </c>
      <c r="S198" s="33">
        <v>41157.0</v>
      </c>
      <c r="T198" s="29">
        <v>190000.0</v>
      </c>
      <c r="U198" s="33">
        <v>41304.0</v>
      </c>
      <c r="V198" s="1"/>
    </row>
    <row r="199" ht="24.0" customHeight="1">
      <c r="A199" s="1"/>
      <c r="B199" s="25" t="str">
        <f>HYPERLINK("https://www.compass.com/listing/139-02-lakewood-avenue-queens-ny-11435/1730609262683030137/view?agent_id=610d3f3370540700019b0833","139-02 Lakewood Avenue")</f>
        <v>139-02 Lakewood Avenue</v>
      </c>
      <c r="C199" s="26" t="s">
        <v>35</v>
      </c>
      <c r="D199" s="27" t="s">
        <v>23</v>
      </c>
      <c r="E199" s="28" t="str">
        <f>HYPERLINK("https://www.compass.com/building/139-02-lakewood-ave-queens-ny-11435/293529621675240981/","139-02 Lakewood Ave")</f>
        <v>139-02 Lakewood Ave</v>
      </c>
      <c r="F199" s="26" t="s">
        <v>24</v>
      </c>
      <c r="G199" s="29">
        <v>276100.0</v>
      </c>
      <c r="H199" s="34"/>
      <c r="I199" s="29">
        <v>219.0</v>
      </c>
      <c r="J199" s="29">
        <v>2628.0</v>
      </c>
      <c r="K199" s="26" t="s">
        <v>32</v>
      </c>
      <c r="L199" s="27">
        <v>5.0</v>
      </c>
      <c r="M199" s="27">
        <v>3.0</v>
      </c>
      <c r="N199" s="27">
        <v>1.0</v>
      </c>
      <c r="O199" s="30"/>
      <c r="P199" s="30"/>
      <c r="Q199" s="32">
        <v>17.0</v>
      </c>
      <c r="R199" s="33">
        <v>45617.0</v>
      </c>
      <c r="S199" s="33">
        <v>42443.0</v>
      </c>
      <c r="T199" s="29">
        <v>276100.0</v>
      </c>
      <c r="U199" s="33">
        <v>42494.0</v>
      </c>
      <c r="V199" s="1"/>
    </row>
    <row r="200" ht="24.0" customHeight="1">
      <c r="A200" s="1"/>
      <c r="B200" s="25" t="str">
        <f>HYPERLINK("https://www.compass.com/listing/143-19-105th-avenue-queens-ny-11435/197761353304324497/view?agent_id=610d3f3370540700019b0833","143-19 105th Avenue")</f>
        <v>143-19 105th Avenue</v>
      </c>
      <c r="C200" s="26" t="s">
        <v>35</v>
      </c>
      <c r="D200" s="27" t="s">
        <v>23</v>
      </c>
      <c r="E200" s="28" t="str">
        <f>HYPERLINK("https://www.compass.com/building/143-19-105th-ave-queens-ny-11435/293533489561624693/","143-19 105th Ave")</f>
        <v>143-19 105th Ave</v>
      </c>
      <c r="F200" s="26" t="s">
        <v>24</v>
      </c>
      <c r="G200" s="29">
        <v>300000.0</v>
      </c>
      <c r="H200" s="29">
        <v>260.0</v>
      </c>
      <c r="I200" s="29">
        <v>276.0</v>
      </c>
      <c r="J200" s="29">
        <v>3317.0</v>
      </c>
      <c r="K200" s="26" t="s">
        <v>32</v>
      </c>
      <c r="L200" s="27">
        <v>6.0</v>
      </c>
      <c r="M200" s="27">
        <v>3.0</v>
      </c>
      <c r="N200" s="27">
        <v>1.0</v>
      </c>
      <c r="O200" s="30"/>
      <c r="P200" s="31">
        <v>1152.0</v>
      </c>
      <c r="Q200" s="32">
        <v>26.0</v>
      </c>
      <c r="R200" s="33">
        <v>45626.0</v>
      </c>
      <c r="S200" s="33">
        <v>42882.0</v>
      </c>
      <c r="T200" s="29">
        <v>300000.0</v>
      </c>
      <c r="U200" s="33">
        <v>42970.0</v>
      </c>
      <c r="V200" s="1"/>
    </row>
    <row r="201" ht="24.0" customHeight="1">
      <c r="A201" s="1"/>
      <c r="B201" s="25" t="str">
        <f>HYPERLINK("https://www.compass.com/listing/145-18-107th-avenue-queens-ny-11435/197757489922500401/view?agent_id=610d3f3370540700019b0833","145-18 107th Avenue")</f>
        <v>145-18 107th Avenue</v>
      </c>
      <c r="C201" s="26" t="s">
        <v>35</v>
      </c>
      <c r="D201" s="27" t="s">
        <v>23</v>
      </c>
      <c r="E201" s="28" t="str">
        <f>HYPERLINK("https://www.compass.com/building/145-18-107th-ave-queens-ny-11435/293532761027886261/","145-18 107th Ave")</f>
        <v>145-18 107th Ave</v>
      </c>
      <c r="F201" s="26" t="s">
        <v>24</v>
      </c>
      <c r="G201" s="29">
        <v>253500.0</v>
      </c>
      <c r="H201" s="34"/>
      <c r="I201" s="29">
        <v>191.0</v>
      </c>
      <c r="J201" s="29">
        <v>2289.0</v>
      </c>
      <c r="K201" s="26" t="s">
        <v>32</v>
      </c>
      <c r="L201" s="27">
        <v>6.0</v>
      </c>
      <c r="M201" s="27">
        <v>3.0</v>
      </c>
      <c r="N201" s="27">
        <v>1.0</v>
      </c>
      <c r="O201" s="27">
        <v>0.0</v>
      </c>
      <c r="P201" s="30"/>
      <c r="Q201" s="32">
        <v>22.0</v>
      </c>
      <c r="R201" s="33">
        <v>45617.0</v>
      </c>
      <c r="S201" s="33">
        <v>42627.0</v>
      </c>
      <c r="T201" s="29">
        <v>253500.0</v>
      </c>
      <c r="U201" s="33">
        <v>42713.0</v>
      </c>
      <c r="V201" s="1"/>
    </row>
    <row r="202" ht="24.0" customHeight="1">
      <c r="A202" s="1"/>
      <c r="B202" s="25" t="str">
        <f>HYPERLINK("https://www.compass.com/listing/95-22-147th-place-queens-ny-11435/1491743345538552121/view?agent_id=610d3f3370540700019b0833","95-22 147th Place")</f>
        <v>95-22 147th Place</v>
      </c>
      <c r="C202" s="26" t="s">
        <v>35</v>
      </c>
      <c r="D202" s="27" t="s">
        <v>23</v>
      </c>
      <c r="E202" s="28" t="str">
        <f>HYPERLINK("https://www.compass.com/building/95-22-147th-pl-queens-ny-11435/293527864538590421/","95-22 147th Pl")</f>
        <v>95-22 147th Pl</v>
      </c>
      <c r="F202" s="26" t="s">
        <v>24</v>
      </c>
      <c r="G202" s="29">
        <v>420000.0</v>
      </c>
      <c r="H202" s="34"/>
      <c r="I202" s="29">
        <v>201.0</v>
      </c>
      <c r="J202" s="29">
        <v>2406.0</v>
      </c>
      <c r="K202" s="26" t="s">
        <v>32</v>
      </c>
      <c r="L202" s="27">
        <v>7.0</v>
      </c>
      <c r="M202" s="27">
        <v>3.0</v>
      </c>
      <c r="N202" s="27">
        <v>1.0</v>
      </c>
      <c r="O202" s="30"/>
      <c r="P202" s="30"/>
      <c r="Q202" s="32">
        <v>19.0</v>
      </c>
      <c r="R202" s="33">
        <v>45624.0</v>
      </c>
      <c r="S202" s="33">
        <v>41913.0</v>
      </c>
      <c r="T202" s="29">
        <v>420000.0</v>
      </c>
      <c r="U202" s="33">
        <v>41990.0</v>
      </c>
      <c r="V202" s="1"/>
    </row>
    <row r="203" ht="24.0" customHeight="1">
      <c r="A203" s="1"/>
      <c r="B203" s="25" t="str">
        <f>HYPERLINK("https://www.compass.com/listing/95-33-148th-street-queens-ny-11435/29130332393505649/view?agent_id=610d3f3370540700019b0833","95-33 148th Street")</f>
        <v>95-33 148th Street</v>
      </c>
      <c r="C203" s="26" t="s">
        <v>35</v>
      </c>
      <c r="D203" s="27" t="s">
        <v>23</v>
      </c>
      <c r="E203" s="28" t="str">
        <f>HYPERLINK("https://www.compass.com/building/95-33-148th-st-queens-ny-11435/293418122327649461/","95-33 148th St")</f>
        <v>95-33 148th St</v>
      </c>
      <c r="F203" s="26" t="s">
        <v>24</v>
      </c>
      <c r="G203" s="29">
        <v>265000.0</v>
      </c>
      <c r="H203" s="34"/>
      <c r="I203" s="29">
        <v>141.0</v>
      </c>
      <c r="J203" s="29">
        <v>1692.0</v>
      </c>
      <c r="K203" s="26" t="s">
        <v>32</v>
      </c>
      <c r="L203" s="27">
        <v>6.0</v>
      </c>
      <c r="M203" s="27">
        <v>3.0</v>
      </c>
      <c r="N203" s="27">
        <v>1.0</v>
      </c>
      <c r="O203" s="30"/>
      <c r="P203" s="30"/>
      <c r="Q203" s="32">
        <v>224.0</v>
      </c>
      <c r="R203" s="33">
        <v>45617.0</v>
      </c>
      <c r="S203" s="33">
        <v>41092.0</v>
      </c>
      <c r="T203" s="29">
        <v>265000.0</v>
      </c>
      <c r="U203" s="33">
        <v>41346.0</v>
      </c>
      <c r="V203" s="1"/>
    </row>
    <row r="204" ht="24.0" customHeight="1">
      <c r="A204" s="1"/>
      <c r="B204" s="25" t="str">
        <f>HYPERLINK("https://www.compass.com/listing/107-11-waltham-street-queens-ny-11435/1203868955359267217/view?agent_id=610d3f3370540700019b0833","107-11 Waltham Street")</f>
        <v>107-11 Waltham Street</v>
      </c>
      <c r="C204" s="26" t="s">
        <v>35</v>
      </c>
      <c r="D204" s="27" t="s">
        <v>23</v>
      </c>
      <c r="E204" s="28" t="str">
        <f>HYPERLINK("https://www.compass.com/building/107-11-waltham-st-queens-ny-11435/293527701136962693/","107-11 Waltham St")</f>
        <v>107-11 Waltham St</v>
      </c>
      <c r="F204" s="26" t="s">
        <v>24</v>
      </c>
      <c r="G204" s="29">
        <v>365400.0</v>
      </c>
      <c r="H204" s="34"/>
      <c r="I204" s="29">
        <v>492.0</v>
      </c>
      <c r="J204" s="29">
        <v>5904.0</v>
      </c>
      <c r="K204" s="26" t="s">
        <v>32</v>
      </c>
      <c r="L204" s="27">
        <v>7.0</v>
      </c>
      <c r="M204" s="27">
        <v>3.0</v>
      </c>
      <c r="N204" s="27">
        <v>1.0</v>
      </c>
      <c r="O204" s="30"/>
      <c r="P204" s="30"/>
      <c r="Q204" s="32">
        <v>77.0</v>
      </c>
      <c r="R204" s="33">
        <v>45617.0</v>
      </c>
      <c r="S204" s="33">
        <v>44911.0</v>
      </c>
      <c r="T204" s="29">
        <v>365400.0</v>
      </c>
      <c r="U204" s="33">
        <v>45057.0</v>
      </c>
      <c r="V204" s="1"/>
    </row>
    <row r="205" ht="24.0" customHeight="1">
      <c r="A205" s="1"/>
      <c r="B205" s="25" t="str">
        <f>HYPERLINK("https://www.compass.com/listing/111-45-144th-street-queens-ny-11435/29139622827148993/view?agent_id=610d3f3370540700019b0833","111-45 144th Street")</f>
        <v>111-45 144th Street</v>
      </c>
      <c r="C205" s="26" t="s">
        <v>35</v>
      </c>
      <c r="D205" s="27" t="s">
        <v>23</v>
      </c>
      <c r="E205" s="28" t="str">
        <f>HYPERLINK("https://www.compass.com/building/111-45-144th-st-queens-ny-11435/293535583626680901/","111-45 144th St")</f>
        <v>111-45 144th St</v>
      </c>
      <c r="F205" s="26" t="s">
        <v>24</v>
      </c>
      <c r="G205" s="29">
        <v>430000.0</v>
      </c>
      <c r="H205" s="29">
        <v>465.0</v>
      </c>
      <c r="I205" s="29">
        <v>256.0</v>
      </c>
      <c r="J205" s="29">
        <v>3075.0</v>
      </c>
      <c r="K205" s="26" t="s">
        <v>32</v>
      </c>
      <c r="L205" s="27">
        <v>5.0</v>
      </c>
      <c r="M205" s="27">
        <v>3.0</v>
      </c>
      <c r="N205" s="27">
        <v>1.0</v>
      </c>
      <c r="O205" s="30"/>
      <c r="P205" s="27">
        <v>924.0</v>
      </c>
      <c r="Q205" s="32">
        <v>21.0</v>
      </c>
      <c r="R205" s="33">
        <v>45617.0</v>
      </c>
      <c r="S205" s="33">
        <v>42954.0</v>
      </c>
      <c r="T205" s="29">
        <v>430000.0</v>
      </c>
      <c r="U205" s="33">
        <v>43007.0</v>
      </c>
      <c r="V205" s="1"/>
    </row>
    <row r="206" ht="24.0" customHeight="1">
      <c r="A206" s="1"/>
      <c r="B206" s="25" t="str">
        <f>HYPERLINK("https://www.compass.com/listing/147-24-109th-avenue-queens-ny-11435/29139557505056097/view?agent_id=610d3f3370540700019b0833","147-24 109th Avenue")</f>
        <v>147-24 109th Avenue</v>
      </c>
      <c r="C206" s="26" t="s">
        <v>35</v>
      </c>
      <c r="D206" s="27" t="s">
        <v>23</v>
      </c>
      <c r="E206" s="28" t="str">
        <f>HYPERLINK("https://www.compass.com/building/147-24-109th-ave-queens-ny-11435/293532141000712133/","147-24 109th Ave")</f>
        <v>147-24 109th Ave</v>
      </c>
      <c r="F206" s="26" t="s">
        <v>24</v>
      </c>
      <c r="G206" s="29">
        <v>335000.0</v>
      </c>
      <c r="H206" s="34"/>
      <c r="I206" s="29">
        <v>302.0</v>
      </c>
      <c r="J206" s="29">
        <v>3622.0</v>
      </c>
      <c r="K206" s="26" t="s">
        <v>32</v>
      </c>
      <c r="L206" s="27">
        <v>6.0</v>
      </c>
      <c r="M206" s="27">
        <v>3.0</v>
      </c>
      <c r="N206" s="27">
        <v>1.0</v>
      </c>
      <c r="O206" s="27">
        <v>0.0</v>
      </c>
      <c r="P206" s="30"/>
      <c r="Q206" s="32">
        <v>45.0</v>
      </c>
      <c r="R206" s="33">
        <v>45617.0</v>
      </c>
      <c r="S206" s="33">
        <v>42240.0</v>
      </c>
      <c r="T206" s="29">
        <v>335000.0</v>
      </c>
      <c r="U206" s="33">
        <v>42352.0</v>
      </c>
      <c r="V206" s="1"/>
    </row>
    <row r="207" ht="24.0" customHeight="1">
      <c r="A207" s="1"/>
      <c r="B207" s="25" t="str">
        <f>HYPERLINK("https://www.compass.com/listing/143-38-glassboro-avenue-queens-ny-11435/197775717553974257/view?agent_id=610d3f3370540700019b0833","143-38 Glassboro Avenue")</f>
        <v>143-38 Glassboro Avenue</v>
      </c>
      <c r="C207" s="26" t="s">
        <v>35</v>
      </c>
      <c r="D207" s="27" t="s">
        <v>23</v>
      </c>
      <c r="E207" s="28" t="str">
        <f>HYPERLINK("https://www.compass.com/building/143-38-glassboro-ave-queens-ny-11435/293417387611404725/","143-38 Glassboro Ave")</f>
        <v>143-38 Glassboro Ave</v>
      </c>
      <c r="F207" s="26" t="s">
        <v>24</v>
      </c>
      <c r="G207" s="29">
        <v>465000.0</v>
      </c>
      <c r="H207" s="34"/>
      <c r="I207" s="29">
        <v>375.0</v>
      </c>
      <c r="J207" s="29">
        <v>4500.0</v>
      </c>
      <c r="K207" s="26" t="s">
        <v>32</v>
      </c>
      <c r="L207" s="27">
        <v>8.0</v>
      </c>
      <c r="M207" s="27">
        <v>3.0</v>
      </c>
      <c r="N207" s="27">
        <v>1.0</v>
      </c>
      <c r="O207" s="30"/>
      <c r="P207" s="30"/>
      <c r="Q207" s="32">
        <v>179.0</v>
      </c>
      <c r="R207" s="33">
        <v>45597.0</v>
      </c>
      <c r="S207" s="33">
        <v>43294.0</v>
      </c>
      <c r="T207" s="29">
        <v>465000.0</v>
      </c>
      <c r="U207" s="33">
        <v>43552.0</v>
      </c>
      <c r="V207" s="1"/>
    </row>
    <row r="208" ht="24.0" customHeight="1">
      <c r="A208" s="1"/>
      <c r="B208" s="25" t="str">
        <f>HYPERLINK("https://www.compass.com/listing/147-05-111th-avenue-queens-ny-11435/1730719631816504185/view?agent_id=610d3f3370540700019b0833","147-05 111th Avenue")</f>
        <v>147-05 111th Avenue</v>
      </c>
      <c r="C208" s="26" t="s">
        <v>35</v>
      </c>
      <c r="D208" s="27" t="s">
        <v>23</v>
      </c>
      <c r="E208" s="28" t="str">
        <f>HYPERLINK("https://www.compass.com/building/147-05-111th-ave-queens-ny-11435/293418120901586165/","147-05 111th Ave")</f>
        <v>147-05 111th Ave</v>
      </c>
      <c r="F208" s="26" t="s">
        <v>24</v>
      </c>
      <c r="G208" s="29">
        <v>335000.0</v>
      </c>
      <c r="H208" s="29">
        <v>262.0</v>
      </c>
      <c r="I208" s="29">
        <v>216.0</v>
      </c>
      <c r="J208" s="29">
        <v>2593.0</v>
      </c>
      <c r="K208" s="26" t="s">
        <v>32</v>
      </c>
      <c r="L208" s="27">
        <v>7.0</v>
      </c>
      <c r="M208" s="27">
        <v>3.0</v>
      </c>
      <c r="N208" s="27">
        <v>1.0</v>
      </c>
      <c r="O208" s="30"/>
      <c r="P208" s="31">
        <v>1280.0</v>
      </c>
      <c r="Q208" s="32">
        <v>50.0</v>
      </c>
      <c r="R208" s="33">
        <v>45617.0</v>
      </c>
      <c r="S208" s="33">
        <v>41547.0</v>
      </c>
      <c r="T208" s="29">
        <v>335000.0</v>
      </c>
      <c r="U208" s="33">
        <v>41764.0</v>
      </c>
      <c r="V208" s="1"/>
    </row>
    <row r="209" ht="24.0" customHeight="1">
      <c r="A209" s="1"/>
      <c r="B209" s="25" t="str">
        <f>HYPERLINK("https://www.compass.com/listing/109-07-pinegrove-street-queens-ny-11435/218598787411694449/view?agent_id=610d3f3370540700019b0833","109-07 Pinegrove Street")</f>
        <v>109-07 Pinegrove Street</v>
      </c>
      <c r="C209" s="26" t="s">
        <v>35</v>
      </c>
      <c r="D209" s="27" t="s">
        <v>23</v>
      </c>
      <c r="E209" s="28" t="str">
        <f>HYPERLINK("https://www.compass.com/building/109-07-pinegrove-st-queens-ny-11435/293526564505673317/","109-07 Pinegrove St")</f>
        <v>109-07 Pinegrove St</v>
      </c>
      <c r="F209" s="26" t="s">
        <v>24</v>
      </c>
      <c r="G209" s="29">
        <v>510000.0</v>
      </c>
      <c r="H209" s="34"/>
      <c r="I209" s="29">
        <v>293.0</v>
      </c>
      <c r="J209" s="29">
        <v>3516.0</v>
      </c>
      <c r="K209" s="26" t="s">
        <v>32</v>
      </c>
      <c r="L209" s="27">
        <v>6.0</v>
      </c>
      <c r="M209" s="27">
        <v>3.0</v>
      </c>
      <c r="N209" s="27">
        <v>1.0</v>
      </c>
      <c r="O209" s="30"/>
      <c r="P209" s="30"/>
      <c r="Q209" s="32">
        <v>19.0</v>
      </c>
      <c r="R209" s="33">
        <v>45617.0</v>
      </c>
      <c r="S209" s="33">
        <v>43553.0</v>
      </c>
      <c r="T209" s="29">
        <v>510000.0</v>
      </c>
      <c r="U209" s="33">
        <v>43644.0</v>
      </c>
      <c r="V209" s="1"/>
    </row>
    <row r="210" ht="24.0" customHeight="1">
      <c r="A210" s="1"/>
      <c r="B210" s="25" t="str">
        <f>HYPERLINK("https://www.compass.com/listing/143-38-glassboro-avenue-queens-ny-11435/480927725457455521/view?agent_id=610d3f3370540700019b0833","143-38 Glassboro Avenue")</f>
        <v>143-38 Glassboro Avenue</v>
      </c>
      <c r="C210" s="26" t="s">
        <v>35</v>
      </c>
      <c r="D210" s="27" t="s">
        <v>23</v>
      </c>
      <c r="E210" s="28" t="str">
        <f>HYPERLINK("https://www.compass.com/building/143-38-glassboro-ave-queens-ny-11435/293417387611404725/","143-38 Glassboro Ave")</f>
        <v>143-38 Glassboro Ave</v>
      </c>
      <c r="F210" s="26" t="s">
        <v>24</v>
      </c>
      <c r="G210" s="29">
        <v>465000.0</v>
      </c>
      <c r="H210" s="34"/>
      <c r="I210" s="29">
        <v>333.0</v>
      </c>
      <c r="J210" s="29">
        <v>4000.0</v>
      </c>
      <c r="K210" s="26" t="s">
        <v>32</v>
      </c>
      <c r="L210" s="27">
        <v>8.0</v>
      </c>
      <c r="M210" s="27">
        <v>3.0</v>
      </c>
      <c r="N210" s="27">
        <v>1.0</v>
      </c>
      <c r="O210" s="30"/>
      <c r="P210" s="30"/>
      <c r="Q210" s="32">
        <v>41.0</v>
      </c>
      <c r="R210" s="33">
        <v>45627.0</v>
      </c>
      <c r="S210" s="33">
        <v>43477.0</v>
      </c>
      <c r="T210" s="29">
        <v>465000.0</v>
      </c>
      <c r="U210" s="33">
        <v>43552.0</v>
      </c>
      <c r="V210" s="1"/>
    </row>
    <row r="211" ht="24.0" customHeight="1">
      <c r="A211" s="1"/>
      <c r="B211" s="25" t="str">
        <f>HYPERLINK("https://www.compass.com/listing/109-32-142nd-street-queens-ny-11435/197772187736789585/view?agent_id=610d3f3370540700019b0833","109-32 142nd Street")</f>
        <v>109-32 142nd Street</v>
      </c>
      <c r="C211" s="26" t="s">
        <v>35</v>
      </c>
      <c r="D211" s="27" t="s">
        <v>23</v>
      </c>
      <c r="E211" s="28" t="str">
        <f>HYPERLINK("https://www.compass.com/building/109-32-142nd-st-queens-ny-11435/293531099756314213/","109-32 142nd St")</f>
        <v>109-32 142nd St</v>
      </c>
      <c r="F211" s="26" t="s">
        <v>24</v>
      </c>
      <c r="G211" s="29">
        <v>580000.0</v>
      </c>
      <c r="H211" s="34"/>
      <c r="I211" s="29">
        <v>300.0</v>
      </c>
      <c r="J211" s="29">
        <v>3600.0</v>
      </c>
      <c r="K211" s="26" t="s">
        <v>32</v>
      </c>
      <c r="L211" s="27">
        <v>7.0</v>
      </c>
      <c r="M211" s="27">
        <v>3.0</v>
      </c>
      <c r="N211" s="27">
        <v>1.0</v>
      </c>
      <c r="O211" s="30"/>
      <c r="P211" s="30"/>
      <c r="Q211" s="32">
        <v>13.0</v>
      </c>
      <c r="R211" s="33">
        <v>45617.0</v>
      </c>
      <c r="S211" s="33">
        <v>43467.0</v>
      </c>
      <c r="T211" s="29">
        <v>580000.0</v>
      </c>
      <c r="U211" s="33">
        <v>43539.0</v>
      </c>
      <c r="V211" s="1"/>
    </row>
    <row r="212" ht="24.0" customHeight="1">
      <c r="A212" s="1"/>
      <c r="B212" s="25" t="str">
        <f>HYPERLINK("https://www.compass.com/listing/91-20-139th-street-queens-ny-11435/1296299586943495073/view?agent_id=610d3f3370540700019b0833","91-20 139th Street")</f>
        <v>91-20 139th Street</v>
      </c>
      <c r="C212" s="26" t="s">
        <v>35</v>
      </c>
      <c r="D212" s="27" t="s">
        <v>23</v>
      </c>
      <c r="E212" s="28" t="str">
        <f>HYPERLINK("https://www.compass.com/building/91-20-139th-st-queens-ny-11435/293528783233768117/","91-20 139th St")</f>
        <v>91-20 139th St</v>
      </c>
      <c r="F212" s="26" t="s">
        <v>24</v>
      </c>
      <c r="G212" s="29">
        <v>465000.0</v>
      </c>
      <c r="H212" s="34"/>
      <c r="I212" s="29">
        <v>362.0</v>
      </c>
      <c r="J212" s="29">
        <v>4349.0</v>
      </c>
      <c r="K212" s="26" t="s">
        <v>32</v>
      </c>
      <c r="L212" s="27">
        <v>5.0</v>
      </c>
      <c r="M212" s="27">
        <v>3.0</v>
      </c>
      <c r="N212" s="27">
        <v>1.0</v>
      </c>
      <c r="O212" s="30"/>
      <c r="P212" s="30"/>
      <c r="Q212" s="32">
        <v>46.0</v>
      </c>
      <c r="R212" s="33">
        <v>45597.0</v>
      </c>
      <c r="S212" s="33">
        <v>45040.0</v>
      </c>
      <c r="T212" s="29">
        <v>465000.0</v>
      </c>
      <c r="U212" s="33">
        <v>45159.0</v>
      </c>
      <c r="V212" s="1"/>
    </row>
    <row r="213" ht="24.0" customHeight="1">
      <c r="A213" s="1"/>
      <c r="B213" s="25" t="str">
        <f>HYPERLINK("https://www.compass.com/listing/143-37-glassboro-avenue-queens-ny-11435/97694558057473185/view?agent_id=610d3f3370540700019b0833","143-37 Glassboro Avenue")</f>
        <v>143-37 Glassboro Avenue</v>
      </c>
      <c r="C213" s="26" t="s">
        <v>35</v>
      </c>
      <c r="D213" s="27" t="s">
        <v>23</v>
      </c>
      <c r="E213" s="28" t="str">
        <f>HYPERLINK("https://www.compass.com/building/143-37-glassboro-ave-queens-ny-11435/293530681819047013/","143-37 Glassboro Ave")</f>
        <v>143-37 Glassboro Ave</v>
      </c>
      <c r="F213" s="26" t="s">
        <v>24</v>
      </c>
      <c r="G213" s="29">
        <v>419000.0</v>
      </c>
      <c r="H213" s="34"/>
      <c r="I213" s="29">
        <v>270.0</v>
      </c>
      <c r="J213" s="29">
        <v>3240.0</v>
      </c>
      <c r="K213" s="26" t="s">
        <v>32</v>
      </c>
      <c r="L213" s="27">
        <v>6.0</v>
      </c>
      <c r="M213" s="27">
        <v>3.0</v>
      </c>
      <c r="N213" s="27">
        <v>1.0</v>
      </c>
      <c r="O213" s="30"/>
      <c r="P213" s="30"/>
      <c r="Q213" s="32">
        <v>108.0</v>
      </c>
      <c r="R213" s="33">
        <v>45597.0</v>
      </c>
      <c r="S213" s="33">
        <v>43181.0</v>
      </c>
      <c r="T213" s="29">
        <v>419000.0</v>
      </c>
      <c r="U213" s="33">
        <v>43378.0</v>
      </c>
      <c r="V213" s="1"/>
    </row>
    <row r="214" ht="24.0" customHeight="1">
      <c r="A214" s="1"/>
      <c r="B214" s="25" t="str">
        <f>HYPERLINK("https://www.compass.com/listing/143-28-ferndale-avenue-queens-ny-11435/29139487007225809/view?agent_id=610d3f3370540700019b0833","143-28 Ferndale Avenue")</f>
        <v>143-28 Ferndale Avenue</v>
      </c>
      <c r="C214" s="26" t="s">
        <v>35</v>
      </c>
      <c r="D214" s="27" t="s">
        <v>23</v>
      </c>
      <c r="E214" s="28" t="str">
        <f>HYPERLINK("https://www.compass.com/building/143-28-ferndale-ave-queens-ny-11435/293527475206494373/","143-28 Ferndale Ave")</f>
        <v>143-28 Ferndale Ave</v>
      </c>
      <c r="F214" s="26" t="s">
        <v>24</v>
      </c>
      <c r="G214" s="29">
        <v>410000.0</v>
      </c>
      <c r="H214" s="34"/>
      <c r="I214" s="29">
        <v>267.0</v>
      </c>
      <c r="J214" s="29">
        <v>3208.0</v>
      </c>
      <c r="K214" s="26" t="s">
        <v>32</v>
      </c>
      <c r="L214" s="27">
        <v>6.0</v>
      </c>
      <c r="M214" s="27">
        <v>3.0</v>
      </c>
      <c r="N214" s="27">
        <v>1.0</v>
      </c>
      <c r="O214" s="27">
        <v>0.0</v>
      </c>
      <c r="P214" s="30"/>
      <c r="Q214" s="32">
        <v>363.0</v>
      </c>
      <c r="R214" s="33">
        <v>45616.0</v>
      </c>
      <c r="S214" s="33">
        <v>42132.0</v>
      </c>
      <c r="T214" s="29">
        <v>410000.0</v>
      </c>
      <c r="U214" s="33">
        <v>42545.0</v>
      </c>
      <c r="V214" s="1"/>
    </row>
    <row r="215" ht="24.0" customHeight="1">
      <c r="A215" s="1"/>
      <c r="B215" s="25" t="str">
        <f>HYPERLINK("https://www.compass.com/listing/107-67-remington-street-queens-ny-11435/1730746188119524737/view?agent_id=610d3f3370540700019b0833","107-67 Remington Street")</f>
        <v>107-67 Remington Street</v>
      </c>
      <c r="C215" s="26" t="s">
        <v>35</v>
      </c>
      <c r="D215" s="27" t="s">
        <v>23</v>
      </c>
      <c r="E215" s="28" t="str">
        <f>HYPERLINK("https://www.compass.com/building/107-67-remington-st-queens-ny-11435/293418393816535429/","107-67 Remington St")</f>
        <v>107-67 Remington St</v>
      </c>
      <c r="F215" s="26" t="s">
        <v>24</v>
      </c>
      <c r="G215" s="29">
        <v>445000.0</v>
      </c>
      <c r="H215" s="29">
        <v>475.0</v>
      </c>
      <c r="I215" s="29">
        <v>173.0</v>
      </c>
      <c r="J215" s="29">
        <v>2072.0</v>
      </c>
      <c r="K215" s="26" t="s">
        <v>25</v>
      </c>
      <c r="L215" s="27">
        <v>6.0</v>
      </c>
      <c r="M215" s="27">
        <v>3.0</v>
      </c>
      <c r="N215" s="27">
        <v>1.0</v>
      </c>
      <c r="O215" s="30"/>
      <c r="P215" s="27">
        <v>937.0</v>
      </c>
      <c r="Q215" s="32">
        <v>70.0</v>
      </c>
      <c r="R215" s="33">
        <v>45617.0</v>
      </c>
      <c r="S215" s="33">
        <v>44522.0</v>
      </c>
      <c r="T215" s="29">
        <v>445000.0</v>
      </c>
      <c r="U215" s="33">
        <v>44678.0</v>
      </c>
      <c r="V215" s="1"/>
    </row>
    <row r="216" ht="24.0" customHeight="1">
      <c r="A216" s="3"/>
      <c r="B216" s="36" t="s">
        <v>26</v>
      </c>
      <c r="C216" s="37"/>
      <c r="D216" s="38"/>
      <c r="E216" s="38"/>
      <c r="F216" s="37"/>
      <c r="G216" s="39">
        <f>IFERROR(__xludf.DUMMYFUNCTION("TO_DOLLARS(IFERROR(AVERAGE(G30:G215)))"),390149.8695652174)</f>
        <v>390149.8696</v>
      </c>
      <c r="H216" s="39">
        <f>IFERROR(__xludf.DUMMYFUNCTION("TO_DOLLARS(IFERROR(AVERAGE(H30:H215)))"),351.57471264367814)</f>
        <v>351.5747126</v>
      </c>
      <c r="I216" s="39">
        <f>IFERROR(__xludf.DUMMYFUNCTION("TO_DOLLARS(IFERROR(AVERAGE(I30:I215)))"),300.3010752688172)</f>
        <v>300.3010753</v>
      </c>
      <c r="J216" s="39">
        <f>IFERROR(__xludf.DUMMYFUNCTION("TO_DOLLARS(IFERROR(AVERAGE(J30:J215)))"),3415.5945945945946)</f>
        <v>3415.594595</v>
      </c>
      <c r="K216" s="37"/>
      <c r="L216" s="38"/>
      <c r="M216" s="38"/>
      <c r="N216" s="38"/>
      <c r="O216" s="38"/>
      <c r="P216" s="38">
        <f t="shared" ref="P216:Q216" si="10">IFERROR(AVERAGE(P30:P215),"")</f>
        <v>1232.896552</v>
      </c>
      <c r="Q216" s="40">
        <f t="shared" si="10"/>
        <v>99.9408284</v>
      </c>
      <c r="R216" s="41"/>
      <c r="S216" s="41"/>
      <c r="T216" s="39">
        <f>IFERROR(__xludf.DUMMYFUNCTION("TO_DOLLARS(IFERROR(AVERAGE(T30:T215)))"),390144.4347826087)</f>
        <v>390144.4348</v>
      </c>
      <c r="U216" s="41"/>
      <c r="V216" s="1"/>
    </row>
    <row r="217" ht="24.0" customHeight="1">
      <c r="A217" s="3"/>
      <c r="B217" s="42" t="s">
        <v>27</v>
      </c>
      <c r="C217" s="43"/>
      <c r="D217" s="44"/>
      <c r="E217" s="44"/>
      <c r="F217" s="43"/>
      <c r="G217" s="45">
        <f>IFERROR(__xludf.DUMMYFUNCTION("TO_DOLLARS(IFERROR(MEDIAN(G30:G215)))"),397000.0)</f>
        <v>397000</v>
      </c>
      <c r="H217" s="45">
        <f>IFERROR(__xludf.DUMMYFUNCTION("TO_DOLLARS(IFERROR(MEDIAN(H30:H215)))"),324.0)</f>
        <v>324</v>
      </c>
      <c r="I217" s="45">
        <f>IFERROR(__xludf.DUMMYFUNCTION("TO_DOLLARS(IFERROR(MEDIAN(I30:I215)))"),262.0)</f>
        <v>262</v>
      </c>
      <c r="J217" s="45">
        <f>IFERROR(__xludf.DUMMYFUNCTION("TO_DOLLARS(IFERROR(MEDIAN(J30:J215)))"),2975.0)</f>
        <v>2975</v>
      </c>
      <c r="K217" s="43"/>
      <c r="L217" s="44"/>
      <c r="M217" s="44"/>
      <c r="N217" s="44"/>
      <c r="O217" s="44"/>
      <c r="P217" s="44">
        <f t="shared" ref="P217:Q217" si="11">IFERROR(MEDIAN(P30:P215),"")</f>
        <v>1248</v>
      </c>
      <c r="Q217" s="46">
        <f t="shared" si="11"/>
        <v>53</v>
      </c>
      <c r="R217" s="47"/>
      <c r="S217" s="47"/>
      <c r="T217" s="45">
        <f>IFERROR(__xludf.DUMMYFUNCTION("TO_DOLLARS(IFERROR(MEDIAN(T30:T215)))"),397000.0)</f>
        <v>397000</v>
      </c>
      <c r="U217" s="47"/>
      <c r="V217" s="1"/>
    </row>
    <row r="218">
      <c r="A218" s="1"/>
      <c r="B218" s="2"/>
      <c r="C218" s="2"/>
      <c r="D218" s="2"/>
      <c r="E218" s="2"/>
      <c r="F218" s="2"/>
      <c r="G218" s="2"/>
      <c r="H218" s="2"/>
      <c r="I218" s="2"/>
      <c r="J218" s="2"/>
      <c r="K218" s="2"/>
      <c r="L218" s="2"/>
      <c r="M218" s="2"/>
      <c r="N218" s="2"/>
      <c r="O218" s="2"/>
      <c r="P218" s="2"/>
      <c r="Q218" s="2"/>
      <c r="R218" s="2"/>
      <c r="S218" s="2"/>
      <c r="T218" s="2"/>
      <c r="U218" s="2"/>
      <c r="V218" s="1"/>
    </row>
    <row r="219" ht="24.0" customHeight="1">
      <c r="A219" s="3"/>
      <c r="B219" s="10" t="s">
        <v>51</v>
      </c>
      <c r="C219" s="5"/>
      <c r="D219" s="5"/>
      <c r="E219" s="5"/>
      <c r="F219" s="5"/>
      <c r="G219" s="5"/>
      <c r="H219" s="5"/>
      <c r="I219" s="5"/>
      <c r="J219" s="5"/>
      <c r="K219" s="5"/>
      <c r="L219" s="5"/>
      <c r="M219" s="5"/>
      <c r="N219" s="5"/>
      <c r="O219" s="5"/>
      <c r="P219" s="5"/>
      <c r="Q219" s="5"/>
      <c r="R219" s="5"/>
      <c r="S219" s="5"/>
      <c r="T219" s="5"/>
      <c r="U219" s="6"/>
      <c r="V219" s="1"/>
    </row>
    <row r="220" ht="24.0" customHeight="1">
      <c r="A220" s="3"/>
      <c r="B220" s="11" t="s">
        <v>2</v>
      </c>
      <c r="C220" s="11" t="s">
        <v>3</v>
      </c>
      <c r="D220" s="12" t="s">
        <v>4</v>
      </c>
      <c r="E220" s="12" t="s">
        <v>5</v>
      </c>
      <c r="F220" s="11" t="s">
        <v>6</v>
      </c>
      <c r="G220" s="13" t="s">
        <v>7</v>
      </c>
      <c r="H220" s="13" t="s">
        <v>8</v>
      </c>
      <c r="I220" s="13" t="s">
        <v>9</v>
      </c>
      <c r="J220" s="13" t="s">
        <v>10</v>
      </c>
      <c r="K220" s="11" t="s">
        <v>11</v>
      </c>
      <c r="L220" s="12" t="s">
        <v>12</v>
      </c>
      <c r="M220" s="12" t="s">
        <v>13</v>
      </c>
      <c r="N220" s="12" t="s">
        <v>14</v>
      </c>
      <c r="O220" s="12" t="s">
        <v>15</v>
      </c>
      <c r="P220" s="12" t="s">
        <v>16</v>
      </c>
      <c r="Q220" s="13" t="s">
        <v>17</v>
      </c>
      <c r="R220" s="11" t="s">
        <v>18</v>
      </c>
      <c r="S220" s="11" t="s">
        <v>19</v>
      </c>
      <c r="T220" s="13" t="s">
        <v>20</v>
      </c>
      <c r="U220" s="11" t="s">
        <v>21</v>
      </c>
      <c r="V220" s="1"/>
    </row>
    <row r="221" ht="24.0" customHeight="1">
      <c r="A221" s="1"/>
      <c r="B221" s="14" t="str">
        <f>HYPERLINK("https://www.compass.com/listing/111-57-166th-street-queens-ny-11433/1875686408215989361/view?agent_id=610d3f3370540700019b0833","111-57 166th Street")</f>
        <v>111-57 166th Street</v>
      </c>
      <c r="C221" s="15" t="s">
        <v>52</v>
      </c>
      <c r="D221" s="16" t="s">
        <v>23</v>
      </c>
      <c r="E221" s="17" t="str">
        <f>HYPERLINK("https://www.compass.com/building/111-57-166th-st-queens-ny-11433/293526442921269493/","111-57 166th St")</f>
        <v>111-57 166th St</v>
      </c>
      <c r="F221" s="15" t="s">
        <v>24</v>
      </c>
      <c r="G221" s="18">
        <v>600000.0</v>
      </c>
      <c r="H221" s="18">
        <v>789.0</v>
      </c>
      <c r="I221" s="18">
        <v>409.0</v>
      </c>
      <c r="J221" s="18">
        <v>4905.0</v>
      </c>
      <c r="K221" s="15" t="s">
        <v>25</v>
      </c>
      <c r="L221" s="16">
        <v>5.0</v>
      </c>
      <c r="M221" s="16">
        <v>3.0</v>
      </c>
      <c r="N221" s="16">
        <v>1.0</v>
      </c>
      <c r="O221" s="19"/>
      <c r="P221" s="16">
        <v>760.0</v>
      </c>
      <c r="Q221" s="21">
        <v>23.0</v>
      </c>
      <c r="R221" s="22">
        <v>45863.0</v>
      </c>
      <c r="S221" s="22">
        <v>45839.0</v>
      </c>
      <c r="T221" s="23"/>
      <c r="U221" s="24"/>
      <c r="V221" s="1"/>
    </row>
    <row r="222" ht="24.0" customHeight="1">
      <c r="A222" s="1"/>
      <c r="B222" s="25" t="str">
        <f>HYPERLINK("https://www.compass.com/listing/173-02-111th-avenue-queens-ny-11433/29131900752797953/view?agent_id=610d3f3370540700019b0833","173-02 111th Avenue")</f>
        <v>173-02 111th Avenue</v>
      </c>
      <c r="C222" s="26" t="s">
        <v>53</v>
      </c>
      <c r="D222" s="27" t="s">
        <v>23</v>
      </c>
      <c r="E222" s="28" t="str">
        <f>HYPERLINK("https://www.compass.com/building/173-02-111th-ave-queens-ny-11433/293531252152087029/","173-02 111th Ave")</f>
        <v>173-02 111th Ave</v>
      </c>
      <c r="F222" s="26" t="s">
        <v>24</v>
      </c>
      <c r="G222" s="29">
        <v>189000.0</v>
      </c>
      <c r="H222" s="29">
        <v>164.0</v>
      </c>
      <c r="I222" s="29">
        <v>237.0</v>
      </c>
      <c r="J222" s="29">
        <v>2844.0</v>
      </c>
      <c r="K222" s="26" t="s">
        <v>25</v>
      </c>
      <c r="L222" s="27">
        <v>5.0</v>
      </c>
      <c r="M222" s="27">
        <v>3.0</v>
      </c>
      <c r="N222" s="27">
        <v>1.0</v>
      </c>
      <c r="O222" s="30"/>
      <c r="P222" s="31">
        <v>1152.0</v>
      </c>
      <c r="Q222" s="32">
        <v>366.0</v>
      </c>
      <c r="R222" s="33">
        <v>45616.0</v>
      </c>
      <c r="S222" s="33">
        <v>42068.0</v>
      </c>
      <c r="T222" s="34"/>
      <c r="U222" s="35"/>
      <c r="V222" s="1"/>
    </row>
    <row r="223" ht="24.0" customHeight="1">
      <c r="A223" s="1"/>
      <c r="B223" s="25" t="str">
        <f>HYPERLINK("https://www.compass.com/listing/109-14-177th-street-queens-ny-11433/551401117538659849/view?agent_id=610d3f3370540700019b0833","109-14 177th Street")</f>
        <v>109-14 177th Street</v>
      </c>
      <c r="C223" s="26" t="s">
        <v>53</v>
      </c>
      <c r="D223" s="27" t="s">
        <v>23</v>
      </c>
      <c r="E223" s="28" t="str">
        <f>HYPERLINK("https://www.compass.com/building/109-14-177th-st-queens-ny-11433/293529823706428821/","109-14 177th St")</f>
        <v>109-14 177th St</v>
      </c>
      <c r="F223" s="26" t="s">
        <v>24</v>
      </c>
      <c r="G223" s="29">
        <v>375000.0</v>
      </c>
      <c r="H223" s="29">
        <v>324.0</v>
      </c>
      <c r="I223" s="29">
        <v>420.0</v>
      </c>
      <c r="J223" s="29">
        <v>5041.0</v>
      </c>
      <c r="K223" s="26" t="s">
        <v>25</v>
      </c>
      <c r="L223" s="27">
        <v>6.0</v>
      </c>
      <c r="M223" s="27">
        <v>3.0</v>
      </c>
      <c r="N223" s="27">
        <v>1.0</v>
      </c>
      <c r="O223" s="30"/>
      <c r="P223" s="31">
        <v>1156.0</v>
      </c>
      <c r="Q223" s="32">
        <v>21.0</v>
      </c>
      <c r="R223" s="33">
        <v>45597.0</v>
      </c>
      <c r="S223" s="33">
        <v>44011.0</v>
      </c>
      <c r="T223" s="34"/>
      <c r="U223" s="35"/>
      <c r="V223" s="1"/>
    </row>
    <row r="224" ht="24.0" customHeight="1">
      <c r="A224" s="1"/>
      <c r="B224" s="25" t="str">
        <f>HYPERLINK("https://www.compass.com/listing/107-57-watson-place-queens-ny-11433/1730508732195946745/view?agent_id=610d3f3370540700019b0833","107-57 Watson Place")</f>
        <v>107-57 Watson Place</v>
      </c>
      <c r="C224" s="26" t="s">
        <v>53</v>
      </c>
      <c r="D224" s="27" t="s">
        <v>23</v>
      </c>
      <c r="E224" s="28" t="str">
        <f>HYPERLINK("https://www.compass.com/building/107-57-watson-pl-queens-ny-11433/293529545397595077/","107-57 Watson Pl")</f>
        <v>107-57 Watson Pl</v>
      </c>
      <c r="F224" s="26" t="s">
        <v>24</v>
      </c>
      <c r="G224" s="29">
        <v>339000.0</v>
      </c>
      <c r="H224" s="29">
        <v>258.0</v>
      </c>
      <c r="I224" s="29">
        <v>191.0</v>
      </c>
      <c r="J224" s="29">
        <v>2295.0</v>
      </c>
      <c r="K224" s="26" t="s">
        <v>25</v>
      </c>
      <c r="L224" s="27">
        <v>7.0</v>
      </c>
      <c r="M224" s="27">
        <v>3.0</v>
      </c>
      <c r="N224" s="27">
        <v>1.0</v>
      </c>
      <c r="O224" s="30"/>
      <c r="P224" s="31">
        <v>1312.0</v>
      </c>
      <c r="Q224" s="32">
        <v>365.0</v>
      </c>
      <c r="R224" s="33">
        <v>45597.0</v>
      </c>
      <c r="S224" s="33">
        <v>41093.0</v>
      </c>
      <c r="T224" s="34"/>
      <c r="U224" s="35"/>
      <c r="V224" s="1"/>
    </row>
    <row r="225" ht="24.0" customHeight="1">
      <c r="A225" s="1"/>
      <c r="B225" s="25" t="str">
        <f>HYPERLINK("https://www.compass.com/listing/109-14-177th-street-queens-ny-11433/477404557954640249/view?agent_id=610d3f3370540700019b0833","109-14 177th Street")</f>
        <v>109-14 177th Street</v>
      </c>
      <c r="C225" s="26" t="s">
        <v>53</v>
      </c>
      <c r="D225" s="27" t="s">
        <v>23</v>
      </c>
      <c r="E225" s="28" t="str">
        <f>HYPERLINK("https://www.compass.com/building/109-14-177th-st-queens-ny-11433/293529823706428821/","109-14 177th St")</f>
        <v>109-14 177th St</v>
      </c>
      <c r="F225" s="26" t="s">
        <v>24</v>
      </c>
      <c r="G225" s="29">
        <v>375000.0</v>
      </c>
      <c r="H225" s="29">
        <v>324.0</v>
      </c>
      <c r="I225" s="29">
        <v>420.0</v>
      </c>
      <c r="J225" s="29">
        <v>5041.0</v>
      </c>
      <c r="K225" s="26" t="s">
        <v>25</v>
      </c>
      <c r="L225" s="27">
        <v>6.0</v>
      </c>
      <c r="M225" s="27">
        <v>3.0</v>
      </c>
      <c r="N225" s="27">
        <v>1.0</v>
      </c>
      <c r="O225" s="30"/>
      <c r="P225" s="31">
        <v>1156.0</v>
      </c>
      <c r="Q225" s="32">
        <v>90.0</v>
      </c>
      <c r="R225" s="33">
        <v>45597.0</v>
      </c>
      <c r="S225" s="33">
        <v>43909.0</v>
      </c>
      <c r="T225" s="34"/>
      <c r="U225" s="35"/>
      <c r="V225" s="1"/>
    </row>
    <row r="226" ht="24.0" customHeight="1">
      <c r="A226" s="1"/>
      <c r="B226" s="25" t="str">
        <f>HYPERLINK("https://www.compass.com/listing/110-20-177th-street-queens-ny-11433/1726438819494218865/view?agent_id=610d3f3370540700019b0833","110-20 177th Street")</f>
        <v>110-20 177th Street</v>
      </c>
      <c r="C226" s="26" t="s">
        <v>53</v>
      </c>
      <c r="D226" s="27" t="s">
        <v>23</v>
      </c>
      <c r="E226" s="28" t="str">
        <f>HYPERLINK("https://www.compass.com/building/110-20-177th-st-queens-ny-11433/293533947277688149/","110-20 177th St")</f>
        <v>110-20 177th St</v>
      </c>
      <c r="F226" s="26" t="s">
        <v>24</v>
      </c>
      <c r="G226" s="29">
        <v>369990.0</v>
      </c>
      <c r="H226" s="29">
        <v>289.0</v>
      </c>
      <c r="I226" s="29">
        <v>200.0</v>
      </c>
      <c r="J226" s="29">
        <v>2400.0</v>
      </c>
      <c r="K226" s="26" t="s">
        <v>25</v>
      </c>
      <c r="L226" s="27">
        <v>6.0</v>
      </c>
      <c r="M226" s="27">
        <v>3.0</v>
      </c>
      <c r="N226" s="27">
        <v>1.0</v>
      </c>
      <c r="O226" s="30"/>
      <c r="P226" s="31">
        <v>1280.0</v>
      </c>
      <c r="Q226" s="32">
        <v>319.0</v>
      </c>
      <c r="R226" s="33">
        <v>45633.0</v>
      </c>
      <c r="S226" s="33">
        <v>41685.0</v>
      </c>
      <c r="T226" s="34"/>
      <c r="U226" s="35"/>
      <c r="V226" s="1"/>
    </row>
    <row r="227" ht="24.0" customHeight="1">
      <c r="A227" s="1"/>
      <c r="B227" s="25" t="str">
        <f>HYPERLINK("https://www.compass.com/listing/107-12-wren-place-queens-ny-11433/1730531747717646929/view?agent_id=610d3f3370540700019b0833","107-12 Wren Place")</f>
        <v>107-12 Wren Place</v>
      </c>
      <c r="C227" s="26" t="s">
        <v>53</v>
      </c>
      <c r="D227" s="27" t="s">
        <v>23</v>
      </c>
      <c r="E227" s="28" t="str">
        <f>HYPERLINK("https://www.compass.com/building/107-12-wren-pl-queens-ny-11433/293417267897677221/","107-12 Wren Pl")</f>
        <v>107-12 Wren Pl</v>
      </c>
      <c r="F227" s="26" t="s">
        <v>24</v>
      </c>
      <c r="G227" s="29">
        <v>125000.0</v>
      </c>
      <c r="H227" s="29">
        <v>98.0</v>
      </c>
      <c r="I227" s="29">
        <v>224.0</v>
      </c>
      <c r="J227" s="29">
        <v>2689.0</v>
      </c>
      <c r="K227" s="26" t="s">
        <v>25</v>
      </c>
      <c r="L227" s="27">
        <v>6.0</v>
      </c>
      <c r="M227" s="27">
        <v>3.0</v>
      </c>
      <c r="N227" s="27">
        <v>1.0</v>
      </c>
      <c r="O227" s="30"/>
      <c r="P227" s="31">
        <v>1280.0</v>
      </c>
      <c r="Q227" s="32">
        <v>731.0</v>
      </c>
      <c r="R227" s="33">
        <v>45597.0</v>
      </c>
      <c r="S227" s="33">
        <v>42177.0</v>
      </c>
      <c r="T227" s="34"/>
      <c r="U227" s="35"/>
      <c r="V227" s="1"/>
    </row>
    <row r="228" ht="24.0" customHeight="1">
      <c r="A228" s="1"/>
      <c r="B228" s="25" t="str">
        <f>HYPERLINK("https://www.compass.com/listing/109-29-156th-street-queens-ny-11433/29141080498766417/view?agent_id=610d3f3370540700019b0833","109-29 156th Street")</f>
        <v>109-29 156th Street</v>
      </c>
      <c r="C228" s="26" t="s">
        <v>53</v>
      </c>
      <c r="D228" s="27" t="s">
        <v>23</v>
      </c>
      <c r="E228" s="28" t="str">
        <f>HYPERLINK("https://www.compass.com/building/109-29-156th-st-queens-ny-11433/293535296073606421/","109-29 156th St")</f>
        <v>109-29 156th St</v>
      </c>
      <c r="F228" s="26" t="s">
        <v>24</v>
      </c>
      <c r="G228" s="29">
        <v>369000.0</v>
      </c>
      <c r="H228" s="29">
        <v>296.0</v>
      </c>
      <c r="I228" s="29">
        <v>212.0</v>
      </c>
      <c r="J228" s="29">
        <v>2545.0</v>
      </c>
      <c r="K228" s="26" t="s">
        <v>25</v>
      </c>
      <c r="L228" s="27">
        <v>6.0</v>
      </c>
      <c r="M228" s="27">
        <v>3.0</v>
      </c>
      <c r="N228" s="27">
        <v>1.0</v>
      </c>
      <c r="O228" s="27">
        <v>1.0</v>
      </c>
      <c r="P228" s="31">
        <v>1248.0</v>
      </c>
      <c r="Q228" s="32">
        <v>731.0</v>
      </c>
      <c r="R228" s="33">
        <v>45634.0</v>
      </c>
      <c r="S228" s="33">
        <v>42418.0</v>
      </c>
      <c r="T228" s="34"/>
      <c r="U228" s="35"/>
      <c r="V228" s="1"/>
    </row>
    <row r="229" ht="24.0" customHeight="1">
      <c r="A229" s="1"/>
      <c r="B229" s="25" t="str">
        <f>HYPERLINK("https://www.compass.com/listing/109-21-167th-street-unit-twnh-queens-ny-11433/340894696716916321/view?agent_id=610d3f3370540700019b0833","109-21 167th Street, Unit TWNH")</f>
        <v>109-21 167th Street, Unit TWNH</v>
      </c>
      <c r="C229" s="26" t="s">
        <v>54</v>
      </c>
      <c r="D229" s="27" t="s">
        <v>23</v>
      </c>
      <c r="E229" s="28" t="str">
        <f>HYPERLINK("https://www.compass.com/building/109-21-167th-st-queens-ny-11433/293527170389654421/","109-21 167th St")</f>
        <v>109-21 167th St</v>
      </c>
      <c r="F229" s="26" t="s">
        <v>24</v>
      </c>
      <c r="G229" s="29">
        <v>440888.0</v>
      </c>
      <c r="H229" s="34"/>
      <c r="I229" s="29">
        <v>269.0</v>
      </c>
      <c r="J229" s="29">
        <v>3228.0</v>
      </c>
      <c r="K229" s="26" t="s">
        <v>39</v>
      </c>
      <c r="L229" s="27">
        <v>6.0</v>
      </c>
      <c r="M229" s="27">
        <v>3.0</v>
      </c>
      <c r="N229" s="30"/>
      <c r="O229" s="30"/>
      <c r="P229" s="30"/>
      <c r="Q229" s="32">
        <v>39.0</v>
      </c>
      <c r="R229" s="33">
        <v>44247.0</v>
      </c>
      <c r="S229" s="33">
        <v>43721.0</v>
      </c>
      <c r="T229" s="34"/>
      <c r="U229" s="35"/>
      <c r="V229" s="1"/>
    </row>
    <row r="230" ht="24.0" customHeight="1">
      <c r="A230" s="1"/>
      <c r="B230" s="25" t="str">
        <f>HYPERLINK("https://www.compass.com/listing/107-51-156th-street-queens-ny-11433/1726747076251519833/view?agent_id=610d3f3370540700019b0833","107-51 156th Street")</f>
        <v>107-51 156th Street</v>
      </c>
      <c r="C230" s="26" t="s">
        <v>53</v>
      </c>
      <c r="D230" s="27" t="s">
        <v>23</v>
      </c>
      <c r="E230" s="28" t="str">
        <f>HYPERLINK("https://www.compass.com/building/107-51-156th-st-queens-ny-11433/293531752364864277/","107-51 156th St")</f>
        <v>107-51 156th St</v>
      </c>
      <c r="F230" s="26" t="s">
        <v>24</v>
      </c>
      <c r="G230" s="29">
        <v>359000.0</v>
      </c>
      <c r="H230" s="29">
        <v>264.0</v>
      </c>
      <c r="I230" s="29">
        <v>135.0</v>
      </c>
      <c r="J230" s="29">
        <v>1617.0</v>
      </c>
      <c r="K230" s="26" t="s">
        <v>25</v>
      </c>
      <c r="L230" s="27">
        <v>7.0</v>
      </c>
      <c r="M230" s="27">
        <v>3.0</v>
      </c>
      <c r="N230" s="27">
        <v>1.0</v>
      </c>
      <c r="O230" s="30"/>
      <c r="P230" s="31">
        <v>1360.0</v>
      </c>
      <c r="Q230" s="32">
        <v>364.0</v>
      </c>
      <c r="R230" s="33">
        <v>45634.0</v>
      </c>
      <c r="S230" s="33">
        <v>41850.0</v>
      </c>
      <c r="T230" s="34"/>
      <c r="U230" s="35"/>
      <c r="V230" s="1"/>
    </row>
    <row r="231" ht="24.0" customHeight="1">
      <c r="A231" s="1"/>
      <c r="B231" s="25" t="str">
        <f>HYPERLINK("https://www.compass.com/listing/111-12-173rd-street-queens-ny-11433/29131896961146977/view?agent_id=610d3f3370540700019b0833","111-12 173rd Street")</f>
        <v>111-12 173rd Street</v>
      </c>
      <c r="C231" s="26" t="s">
        <v>53</v>
      </c>
      <c r="D231" s="27" t="s">
        <v>23</v>
      </c>
      <c r="E231" s="28" t="str">
        <f>HYPERLINK("https://www.compass.com/building/111-12-173rd-st-queens-ny-11433/293418175939261861/","111-12 173rd St")</f>
        <v>111-12 173rd St</v>
      </c>
      <c r="F231" s="26" t="s">
        <v>24</v>
      </c>
      <c r="G231" s="29">
        <v>359000.0</v>
      </c>
      <c r="H231" s="29">
        <v>295.0</v>
      </c>
      <c r="I231" s="29">
        <v>255.0</v>
      </c>
      <c r="J231" s="29">
        <v>3065.0</v>
      </c>
      <c r="K231" s="26" t="s">
        <v>25</v>
      </c>
      <c r="L231" s="27">
        <v>6.0</v>
      </c>
      <c r="M231" s="27">
        <v>3.0</v>
      </c>
      <c r="N231" s="27">
        <v>1.0</v>
      </c>
      <c r="O231" s="30"/>
      <c r="P231" s="31">
        <v>1216.0</v>
      </c>
      <c r="Q231" s="32">
        <v>366.0</v>
      </c>
      <c r="R231" s="33">
        <v>45634.0</v>
      </c>
      <c r="S231" s="33">
        <v>42066.0</v>
      </c>
      <c r="T231" s="34"/>
      <c r="U231" s="35"/>
      <c r="V231" s="1"/>
    </row>
    <row r="232" ht="24.0" customHeight="1">
      <c r="A232" s="1"/>
      <c r="B232" s="25" t="str">
        <f>HYPERLINK("https://www.compass.com/listing/104-70-165th-street-queens-ny-11433/1726733933231981145/view?agent_id=610d3f3370540700019b0833","104-70 165th Street")</f>
        <v>104-70 165th Street</v>
      </c>
      <c r="C232" s="26" t="s">
        <v>53</v>
      </c>
      <c r="D232" s="27" t="s">
        <v>23</v>
      </c>
      <c r="E232" s="28" t="str">
        <f>HYPERLINK("https://www.compass.com/building/104-70-165th-st-queens-ny-11433/293532472082296261/","104-70 165th St")</f>
        <v>104-70 165th St</v>
      </c>
      <c r="F232" s="26" t="s">
        <v>24</v>
      </c>
      <c r="G232" s="29">
        <v>349000.0</v>
      </c>
      <c r="H232" s="29">
        <v>212.0</v>
      </c>
      <c r="I232" s="29">
        <v>294.0</v>
      </c>
      <c r="J232" s="29">
        <v>3533.0</v>
      </c>
      <c r="K232" s="26" t="s">
        <v>25</v>
      </c>
      <c r="L232" s="27">
        <v>8.0</v>
      </c>
      <c r="M232" s="27">
        <v>3.0</v>
      </c>
      <c r="N232" s="27">
        <v>1.0</v>
      </c>
      <c r="O232" s="30"/>
      <c r="P232" s="31">
        <v>1650.0</v>
      </c>
      <c r="Q232" s="32">
        <v>183.0</v>
      </c>
      <c r="R232" s="33">
        <v>45634.0</v>
      </c>
      <c r="S232" s="33">
        <v>41835.0</v>
      </c>
      <c r="T232" s="34"/>
      <c r="U232" s="35"/>
      <c r="V232" s="1"/>
    </row>
    <row r="233" ht="24.0" customHeight="1">
      <c r="A233" s="1"/>
      <c r="B233" s="25" t="str">
        <f>HYPERLINK("https://www.compass.com/listing/170-04-108th-avenue-queens-ny-11433/1730712230397035161/view?agent_id=610d3f3370540700019b0833","170-04 108th Avenue")</f>
        <v>170-04 108th Avenue</v>
      </c>
      <c r="C233" s="26" t="s">
        <v>53</v>
      </c>
      <c r="D233" s="27" t="s">
        <v>23</v>
      </c>
      <c r="E233" s="28" t="str">
        <f>HYPERLINK("https://www.compass.com/building/170-04-108th-ave-queens-ny-11433/293532611853211253/","170-04 108th Ave")</f>
        <v>170-04 108th Ave</v>
      </c>
      <c r="F233" s="26" t="s">
        <v>24</v>
      </c>
      <c r="G233" s="29">
        <v>259900.0</v>
      </c>
      <c r="H233" s="29">
        <v>205.0</v>
      </c>
      <c r="I233" s="29">
        <v>162.0</v>
      </c>
      <c r="J233" s="29">
        <v>1941.0</v>
      </c>
      <c r="K233" s="26" t="s">
        <v>25</v>
      </c>
      <c r="L233" s="27">
        <v>7.0</v>
      </c>
      <c r="M233" s="27">
        <v>3.0</v>
      </c>
      <c r="N233" s="27">
        <v>1.0</v>
      </c>
      <c r="O233" s="30"/>
      <c r="P233" s="31">
        <v>1267.0</v>
      </c>
      <c r="Q233" s="32">
        <v>214.0</v>
      </c>
      <c r="R233" s="33">
        <v>45597.0</v>
      </c>
      <c r="S233" s="33">
        <v>41085.0</v>
      </c>
      <c r="T233" s="34"/>
      <c r="U233" s="35"/>
      <c r="V233" s="1"/>
    </row>
    <row r="234" ht="24.0" customHeight="1">
      <c r="A234" s="1"/>
      <c r="B234" s="25" t="str">
        <f>HYPERLINK("https://www.compass.com/listing/166-03-nadal-place-queens-ny-11433/197775669235585089/view?agent_id=610d3f3370540700019b0833","166-03 Nadal Place")</f>
        <v>166-03 Nadal Place</v>
      </c>
      <c r="C234" s="26" t="s">
        <v>53</v>
      </c>
      <c r="D234" s="27" t="s">
        <v>23</v>
      </c>
      <c r="E234" s="28" t="str">
        <f>HYPERLINK("https://www.compass.com/building/166-03-nadal-pl-queens-ny-11433/293527041389720725/","166-03 Nadal Pl")</f>
        <v>166-03 Nadal Pl</v>
      </c>
      <c r="F234" s="26" t="s">
        <v>24</v>
      </c>
      <c r="G234" s="29">
        <v>415000.0</v>
      </c>
      <c r="H234" s="29">
        <v>539.0</v>
      </c>
      <c r="I234" s="29">
        <v>183.0</v>
      </c>
      <c r="J234" s="29">
        <v>2200.0</v>
      </c>
      <c r="K234" s="26" t="s">
        <v>25</v>
      </c>
      <c r="L234" s="27">
        <v>6.0</v>
      </c>
      <c r="M234" s="27">
        <v>3.0</v>
      </c>
      <c r="N234" s="27">
        <v>1.0</v>
      </c>
      <c r="O234" s="30"/>
      <c r="P234" s="27">
        <v>770.0</v>
      </c>
      <c r="Q234" s="32">
        <v>59.0</v>
      </c>
      <c r="R234" s="33">
        <v>45636.0</v>
      </c>
      <c r="S234" s="33">
        <v>43351.0</v>
      </c>
      <c r="T234" s="34"/>
      <c r="U234" s="35"/>
      <c r="V234" s="1"/>
    </row>
    <row r="235" ht="24.0" customHeight="1">
      <c r="A235" s="1"/>
      <c r="B235" s="25" t="str">
        <f>HYPERLINK("https://www.compass.com/listing/108-17-157th-street-queens-ny-11433/1730505523213576889/view?agent_id=610d3f3370540700019b0833","108-17 157th Street")</f>
        <v>108-17 157th Street</v>
      </c>
      <c r="C235" s="26" t="s">
        <v>53</v>
      </c>
      <c r="D235" s="27" t="s">
        <v>23</v>
      </c>
      <c r="E235" s="28" t="str">
        <f>HYPERLINK("https://www.compass.com/building/108-17-157th-st-queens-ny-11433/293532983493731813/","108-17 157th St")</f>
        <v>108-17 157th St</v>
      </c>
      <c r="F235" s="26" t="s">
        <v>24</v>
      </c>
      <c r="G235" s="29">
        <v>165000.0</v>
      </c>
      <c r="H235" s="29">
        <v>152.0</v>
      </c>
      <c r="I235" s="29">
        <v>208.0</v>
      </c>
      <c r="J235" s="29">
        <v>2500.0</v>
      </c>
      <c r="K235" s="26" t="s">
        <v>25</v>
      </c>
      <c r="L235" s="27">
        <v>6.0</v>
      </c>
      <c r="M235" s="27">
        <v>3.0</v>
      </c>
      <c r="N235" s="27">
        <v>1.0</v>
      </c>
      <c r="O235" s="30"/>
      <c r="P235" s="31">
        <v>1088.0</v>
      </c>
      <c r="Q235" s="32">
        <v>143.0</v>
      </c>
      <c r="R235" s="33">
        <v>45597.0</v>
      </c>
      <c r="S235" s="33">
        <v>42361.0</v>
      </c>
      <c r="T235" s="34"/>
      <c r="U235" s="35"/>
      <c r="V235" s="1"/>
    </row>
    <row r="236" ht="24.0" customHeight="1">
      <c r="A236" s="1"/>
      <c r="B236" s="25" t="str">
        <f>HYPERLINK("https://www.compass.com/listing/107-12-wren-place-queens-ny-11433/1730515557410364257/view?agent_id=610d3f3370540700019b0833","107-12 Wren Place")</f>
        <v>107-12 Wren Place</v>
      </c>
      <c r="C236" s="26" t="s">
        <v>53</v>
      </c>
      <c r="D236" s="27" t="s">
        <v>23</v>
      </c>
      <c r="E236" s="28" t="str">
        <f>HYPERLINK("https://www.compass.com/building/107-12-wren-pl-queens-ny-11433/293417267897677221/","107-12 Wren Pl")</f>
        <v>107-12 Wren Pl</v>
      </c>
      <c r="F236" s="26" t="s">
        <v>24</v>
      </c>
      <c r="G236" s="29">
        <v>125000.0</v>
      </c>
      <c r="H236" s="29">
        <v>98.0</v>
      </c>
      <c r="I236" s="29">
        <v>224.0</v>
      </c>
      <c r="J236" s="29">
        <v>2689.0</v>
      </c>
      <c r="K236" s="26" t="s">
        <v>25</v>
      </c>
      <c r="L236" s="27">
        <v>5.0</v>
      </c>
      <c r="M236" s="27">
        <v>3.0</v>
      </c>
      <c r="N236" s="27">
        <v>1.0</v>
      </c>
      <c r="O236" s="30"/>
      <c r="P236" s="31">
        <v>1280.0</v>
      </c>
      <c r="Q236" s="32">
        <v>12.0</v>
      </c>
      <c r="R236" s="33">
        <v>45597.0</v>
      </c>
      <c r="S236" s="33">
        <v>41879.0</v>
      </c>
      <c r="T236" s="34"/>
      <c r="U236" s="35"/>
      <c r="V236" s="1"/>
    </row>
    <row r="237" ht="24.0" customHeight="1">
      <c r="A237" s="1"/>
      <c r="B237" s="25" t="str">
        <f>HYPERLINK("https://www.compass.com/listing/107-58-164th-street-queens-ny-11433/1730613085925290729/view?agent_id=610d3f3370540700019b0833","107-58 164th Street")</f>
        <v>107-58 164th Street</v>
      </c>
      <c r="C237" s="26" t="s">
        <v>53</v>
      </c>
      <c r="D237" s="27" t="s">
        <v>23</v>
      </c>
      <c r="E237" s="28" t="str">
        <f>HYPERLINK("https://www.compass.com/building/107-58-164th-st-queens-ny-11433/293417976080733829/","107-58 164th St")</f>
        <v>107-58 164th St</v>
      </c>
      <c r="F237" s="26" t="s">
        <v>24</v>
      </c>
      <c r="G237" s="29">
        <v>150000.0</v>
      </c>
      <c r="H237" s="29">
        <v>131.0</v>
      </c>
      <c r="I237" s="29">
        <v>250.0</v>
      </c>
      <c r="J237" s="29">
        <v>3000.0</v>
      </c>
      <c r="K237" s="26" t="s">
        <v>25</v>
      </c>
      <c r="L237" s="27">
        <v>6.0</v>
      </c>
      <c r="M237" s="27">
        <v>3.0</v>
      </c>
      <c r="N237" s="27">
        <v>1.0</v>
      </c>
      <c r="O237" s="30"/>
      <c r="P237" s="31">
        <v>1146.0</v>
      </c>
      <c r="Q237" s="32">
        <v>239.0</v>
      </c>
      <c r="R237" s="33">
        <v>45616.0</v>
      </c>
      <c r="S237" s="33">
        <v>42100.0</v>
      </c>
      <c r="T237" s="34"/>
      <c r="U237" s="35"/>
      <c r="V237" s="1"/>
    </row>
    <row r="238" ht="24.0" customHeight="1">
      <c r="A238" s="1"/>
      <c r="B238" s="25" t="str">
        <f>HYPERLINK("https://www.compass.com/listing/108-17-157th-street-queens-ny-11433/1730718547321087457/view?agent_id=610d3f3370540700019b0833","108-17 157th Street")</f>
        <v>108-17 157th Street</v>
      </c>
      <c r="C238" s="26" t="s">
        <v>53</v>
      </c>
      <c r="D238" s="27" t="s">
        <v>23</v>
      </c>
      <c r="E238" s="28" t="str">
        <f>HYPERLINK("https://www.compass.com/building/108-17-157th-st-queens-ny-11433/293532983493731813/","108-17 157th St")</f>
        <v>108-17 157th St</v>
      </c>
      <c r="F238" s="26" t="s">
        <v>24</v>
      </c>
      <c r="G238" s="29">
        <v>165000.0</v>
      </c>
      <c r="H238" s="29">
        <v>152.0</v>
      </c>
      <c r="I238" s="29">
        <v>208.0</v>
      </c>
      <c r="J238" s="29">
        <v>2500.0</v>
      </c>
      <c r="K238" s="26" t="s">
        <v>25</v>
      </c>
      <c r="L238" s="27">
        <v>6.0</v>
      </c>
      <c r="M238" s="27">
        <v>3.0</v>
      </c>
      <c r="N238" s="27">
        <v>1.0</v>
      </c>
      <c r="O238" s="30"/>
      <c r="P238" s="31">
        <v>1088.0</v>
      </c>
      <c r="Q238" s="32">
        <v>365.0</v>
      </c>
      <c r="R238" s="33">
        <v>45597.0</v>
      </c>
      <c r="S238" s="33">
        <v>41728.0</v>
      </c>
      <c r="T238" s="34"/>
      <c r="U238" s="35"/>
      <c r="V238" s="1"/>
    </row>
    <row r="239" ht="24.0" customHeight="1">
      <c r="A239" s="1"/>
      <c r="B239" s="25" t="str">
        <f>HYPERLINK("https://www.compass.com/listing/110-42-160th-street-queens-ny-11433/1730735381688644857/view?agent_id=610d3f3370540700019b0833","110-42 160th Street")</f>
        <v>110-42 160th Street</v>
      </c>
      <c r="C239" s="26" t="s">
        <v>53</v>
      </c>
      <c r="D239" s="27" t="s">
        <v>23</v>
      </c>
      <c r="E239" s="28" t="str">
        <f>HYPERLINK("https://www.compass.com/building/110-42-160th-st-queens-ny-11433/293526266676542437/","110-42 160th St")</f>
        <v>110-42 160th St</v>
      </c>
      <c r="F239" s="26" t="s">
        <v>24</v>
      </c>
      <c r="G239" s="29">
        <v>140000.0</v>
      </c>
      <c r="H239" s="29">
        <v>125.0</v>
      </c>
      <c r="I239" s="29">
        <v>115.0</v>
      </c>
      <c r="J239" s="29">
        <v>1381.0</v>
      </c>
      <c r="K239" s="26" t="s">
        <v>25</v>
      </c>
      <c r="L239" s="27">
        <v>5.0</v>
      </c>
      <c r="M239" s="27">
        <v>3.0</v>
      </c>
      <c r="N239" s="27">
        <v>1.0</v>
      </c>
      <c r="O239" s="30"/>
      <c r="P239" s="31">
        <v>1120.0</v>
      </c>
      <c r="Q239" s="32">
        <v>3.0</v>
      </c>
      <c r="R239" s="33">
        <v>45597.0</v>
      </c>
      <c r="S239" s="33">
        <v>41132.0</v>
      </c>
      <c r="T239" s="34"/>
      <c r="U239" s="35"/>
      <c r="V239" s="1"/>
    </row>
    <row r="240" ht="24.0" customHeight="1">
      <c r="A240" s="1"/>
      <c r="B240" s="25" t="str">
        <f>HYPERLINK("https://www.compass.com/listing/107-32-164th-street-queens-ny-11433/490778427708775649/view?agent_id=610d3f3370540700019b0833","107-32 164th Street")</f>
        <v>107-32 164th Street</v>
      </c>
      <c r="C240" s="26" t="s">
        <v>53</v>
      </c>
      <c r="D240" s="27" t="s">
        <v>23</v>
      </c>
      <c r="E240" s="28" t="str">
        <f>HYPERLINK("https://www.compass.com/building/107-32-164th-st-queens-ny-11433/293530806683528549/","107-32 164th St")</f>
        <v>107-32 164th St</v>
      </c>
      <c r="F240" s="26" t="s">
        <v>24</v>
      </c>
      <c r="G240" s="29">
        <v>149000.0</v>
      </c>
      <c r="H240" s="29">
        <v>106.0</v>
      </c>
      <c r="I240" s="29">
        <v>215.0</v>
      </c>
      <c r="J240" s="29">
        <v>2574.0</v>
      </c>
      <c r="K240" s="26" t="s">
        <v>25</v>
      </c>
      <c r="L240" s="27">
        <v>6.0</v>
      </c>
      <c r="M240" s="27">
        <v>3.0</v>
      </c>
      <c r="N240" s="27">
        <v>1.0</v>
      </c>
      <c r="O240" s="30"/>
      <c r="P240" s="31">
        <v>1404.0</v>
      </c>
      <c r="Q240" s="32">
        <v>157.0</v>
      </c>
      <c r="R240" s="33">
        <v>45616.0</v>
      </c>
      <c r="S240" s="33">
        <v>42136.0</v>
      </c>
      <c r="T240" s="34"/>
      <c r="U240" s="35"/>
      <c r="V240" s="1"/>
    </row>
    <row r="241" ht="24.0" customHeight="1">
      <c r="A241" s="1"/>
      <c r="B241" s="25" t="str">
        <f>HYPERLINK("https://www.compass.com/listing/168-68-92nd-road-queens-ny-11433/1730522400895783993/view?agent_id=610d3f3370540700019b0833","168-68 92nd Road")</f>
        <v>168-68 92nd Road</v>
      </c>
      <c r="C241" s="26" t="s">
        <v>53</v>
      </c>
      <c r="D241" s="27" t="s">
        <v>23</v>
      </c>
      <c r="E241" s="28" t="str">
        <f>HYPERLINK("https://www.compass.com/building/168-68-92nd-rd-queens-ny-11433/293527350174373685/","168-68 92nd Rd")</f>
        <v>168-68 92nd Rd</v>
      </c>
      <c r="F241" s="26" t="s">
        <v>24</v>
      </c>
      <c r="G241" s="29">
        <v>199000.0</v>
      </c>
      <c r="H241" s="29">
        <v>135.0</v>
      </c>
      <c r="I241" s="29">
        <v>246.0</v>
      </c>
      <c r="J241" s="29">
        <v>2955.0</v>
      </c>
      <c r="K241" s="26" t="s">
        <v>25</v>
      </c>
      <c r="L241" s="27">
        <v>6.0</v>
      </c>
      <c r="M241" s="27">
        <v>3.0</v>
      </c>
      <c r="N241" s="27">
        <v>1.0</v>
      </c>
      <c r="O241" s="30"/>
      <c r="P241" s="31">
        <v>1476.0</v>
      </c>
      <c r="Q241" s="32">
        <v>5.0</v>
      </c>
      <c r="R241" s="33">
        <v>45597.0</v>
      </c>
      <c r="S241" s="33">
        <v>42237.0</v>
      </c>
      <c r="T241" s="34"/>
      <c r="U241" s="35"/>
      <c r="V241" s="1"/>
    </row>
    <row r="242" ht="24.0" customHeight="1">
      <c r="A242" s="1"/>
      <c r="B242" s="25" t="str">
        <f>HYPERLINK("https://www.compass.com/listing/109-46-175th-street-queens-ny-11433/1730617707360545577/view?agent_id=610d3f3370540700019b0833","109-46 175th Street")</f>
        <v>109-46 175th Street</v>
      </c>
      <c r="C242" s="26" t="s">
        <v>53</v>
      </c>
      <c r="D242" s="27" t="s">
        <v>23</v>
      </c>
      <c r="E242" s="28" t="str">
        <f>HYPERLINK("https://www.compass.com/building/109-46-175th-st-queens-ny-11433/293532040899413493/","109-46 175th St")</f>
        <v>109-46 175th St</v>
      </c>
      <c r="F242" s="26" t="s">
        <v>24</v>
      </c>
      <c r="G242" s="29">
        <v>189000.0</v>
      </c>
      <c r="H242" s="29">
        <v>146.0</v>
      </c>
      <c r="I242" s="29">
        <v>243.0</v>
      </c>
      <c r="J242" s="29">
        <v>2910.0</v>
      </c>
      <c r="K242" s="26" t="s">
        <v>25</v>
      </c>
      <c r="L242" s="27">
        <v>7.0</v>
      </c>
      <c r="M242" s="27">
        <v>3.0</v>
      </c>
      <c r="N242" s="27">
        <v>1.0</v>
      </c>
      <c r="O242" s="30"/>
      <c r="P242" s="31">
        <v>1292.0</v>
      </c>
      <c r="Q242" s="32">
        <v>214.0</v>
      </c>
      <c r="R242" s="33">
        <v>45597.0</v>
      </c>
      <c r="S242" s="33">
        <v>41848.0</v>
      </c>
      <c r="T242" s="34"/>
      <c r="U242" s="35"/>
      <c r="V242" s="1"/>
    </row>
    <row r="243" ht="24.0" customHeight="1">
      <c r="A243" s="1"/>
      <c r="B243" s="25" t="str">
        <f>HYPERLINK("https://www.compass.com/listing/175-13-brinkerhoff-avenue-queens-ny-11433/1730626618537082449/view?agent_id=610d3f3370540700019b0833","175-13 Brinkerhoff Avenue")</f>
        <v>175-13 Brinkerhoff Avenue</v>
      </c>
      <c r="C243" s="26" t="s">
        <v>53</v>
      </c>
      <c r="D243" s="27" t="s">
        <v>23</v>
      </c>
      <c r="E243" s="28" t="str">
        <f>HYPERLINK("https://www.compass.com/building/175-13-brinkerhoff-ave-queens-ny-11433/293531887857588933/","175-13 Brinkerhoff Ave")</f>
        <v>175-13 Brinkerhoff Ave</v>
      </c>
      <c r="F243" s="26" t="s">
        <v>24</v>
      </c>
      <c r="G243" s="29">
        <v>228000.0</v>
      </c>
      <c r="H243" s="29">
        <v>166.0</v>
      </c>
      <c r="I243" s="29">
        <v>210.0</v>
      </c>
      <c r="J243" s="29">
        <v>2516.0</v>
      </c>
      <c r="K243" s="26" t="s">
        <v>25</v>
      </c>
      <c r="L243" s="27">
        <v>6.0</v>
      </c>
      <c r="M243" s="27">
        <v>3.0</v>
      </c>
      <c r="N243" s="27">
        <v>1.0</v>
      </c>
      <c r="O243" s="30"/>
      <c r="P243" s="31">
        <v>1375.0</v>
      </c>
      <c r="Q243" s="32">
        <v>126.0</v>
      </c>
      <c r="R243" s="33">
        <v>45597.0</v>
      </c>
      <c r="S243" s="33">
        <v>41297.0</v>
      </c>
      <c r="T243" s="34"/>
      <c r="U243" s="35"/>
      <c r="V243" s="1"/>
    </row>
    <row r="244" ht="24.0" customHeight="1">
      <c r="A244" s="1"/>
      <c r="B244" s="25" t="str">
        <f>HYPERLINK("https://www.compass.com/listing/109-24-157th-street-queens-ny-11433/1730722669314946241/view?agent_id=610d3f3370540700019b0833","109-24 157th Street")</f>
        <v>109-24 157th Street</v>
      </c>
      <c r="C244" s="26" t="s">
        <v>53</v>
      </c>
      <c r="D244" s="27" t="s">
        <v>23</v>
      </c>
      <c r="E244" s="28" t="str">
        <f>HYPERLINK("https://www.compass.com/building/109-24-157th-st-queens-ny-11433/293528337790369349/","109-24 157th St")</f>
        <v>109-24 157th St</v>
      </c>
      <c r="F244" s="26" t="s">
        <v>24</v>
      </c>
      <c r="G244" s="29">
        <v>302000.0</v>
      </c>
      <c r="H244" s="29">
        <v>324.0</v>
      </c>
      <c r="I244" s="29">
        <v>126.0</v>
      </c>
      <c r="J244" s="29">
        <v>1508.0</v>
      </c>
      <c r="K244" s="26" t="s">
        <v>25</v>
      </c>
      <c r="L244" s="27">
        <v>6.0</v>
      </c>
      <c r="M244" s="27">
        <v>3.0</v>
      </c>
      <c r="N244" s="27">
        <v>1.0</v>
      </c>
      <c r="O244" s="30"/>
      <c r="P244" s="27">
        <v>932.0</v>
      </c>
      <c r="Q244" s="32">
        <v>365.0</v>
      </c>
      <c r="R244" s="33">
        <v>45597.0</v>
      </c>
      <c r="S244" s="33">
        <v>41373.0</v>
      </c>
      <c r="T244" s="34"/>
      <c r="U244" s="35"/>
      <c r="V244" s="1"/>
    </row>
    <row r="245" ht="24.0" customHeight="1">
      <c r="A245" s="1"/>
      <c r="B245" s="25" t="str">
        <f>HYPERLINK("https://www.compass.com/listing/108-17-157th-street-queens-ny-11433/29130862813632385/view?agent_id=610d3f3370540700019b0833","108-17 157th Street")</f>
        <v>108-17 157th Street</v>
      </c>
      <c r="C245" s="26" t="s">
        <v>53</v>
      </c>
      <c r="D245" s="27" t="s">
        <v>23</v>
      </c>
      <c r="E245" s="28" t="str">
        <f>HYPERLINK("https://www.compass.com/building/108-17-157th-st-queens-ny-11433/293532983493731813/","108-17 157th St")</f>
        <v>108-17 157th St</v>
      </c>
      <c r="F245" s="26" t="s">
        <v>24</v>
      </c>
      <c r="G245" s="29">
        <v>195000.0</v>
      </c>
      <c r="H245" s="29">
        <v>52.0</v>
      </c>
      <c r="I245" s="29">
        <v>208.0</v>
      </c>
      <c r="J245" s="29">
        <v>2500.0</v>
      </c>
      <c r="K245" s="26" t="s">
        <v>25</v>
      </c>
      <c r="L245" s="27">
        <v>6.0</v>
      </c>
      <c r="M245" s="27">
        <v>3.0</v>
      </c>
      <c r="N245" s="27">
        <v>1.0</v>
      </c>
      <c r="O245" s="30"/>
      <c r="P245" s="31">
        <v>3786.0</v>
      </c>
      <c r="Q245" s="32">
        <v>365.0</v>
      </c>
      <c r="R245" s="33">
        <v>45597.0</v>
      </c>
      <c r="S245" s="33">
        <v>42996.0</v>
      </c>
      <c r="T245" s="34"/>
      <c r="U245" s="35"/>
      <c r="V245" s="1"/>
    </row>
    <row r="246" ht="24.0" customHeight="1">
      <c r="A246" s="1"/>
      <c r="B246" s="25" t="str">
        <f>HYPERLINK("https://www.compass.com/listing/107-29-156th-street-queens-ny-11433/317341692008743793/view?agent_id=610d3f3370540700019b0833","107-29 156th St")</f>
        <v>107-29 156th St</v>
      </c>
      <c r="C246" s="26" t="s">
        <v>53</v>
      </c>
      <c r="D246" s="27" t="s">
        <v>23</v>
      </c>
      <c r="E246" s="28" t="str">
        <f>HYPERLINK("https://www.compass.com/building/107-29-156th-st-queens-ny-11433/293530043437590085/","107-29 156th St")</f>
        <v>107-29 156th St</v>
      </c>
      <c r="F246" s="26" t="s">
        <v>24</v>
      </c>
      <c r="G246" s="29">
        <v>299000.0</v>
      </c>
      <c r="H246" s="29">
        <v>119.0</v>
      </c>
      <c r="I246" s="29">
        <v>208.0</v>
      </c>
      <c r="J246" s="29">
        <v>2500.0</v>
      </c>
      <c r="K246" s="26" t="s">
        <v>25</v>
      </c>
      <c r="L246" s="30"/>
      <c r="M246" s="27">
        <v>3.0</v>
      </c>
      <c r="N246" s="27">
        <v>1.0</v>
      </c>
      <c r="O246" s="27">
        <v>0.0</v>
      </c>
      <c r="P246" s="31">
        <v>2505.0</v>
      </c>
      <c r="Q246" s="32">
        <v>176.0</v>
      </c>
      <c r="R246" s="33">
        <v>41737.0</v>
      </c>
      <c r="S246" s="33">
        <v>40534.0</v>
      </c>
      <c r="T246" s="34"/>
      <c r="U246" s="35"/>
      <c r="V246" s="1"/>
    </row>
    <row r="247" ht="24.0" customHeight="1">
      <c r="A247" s="1"/>
      <c r="B247" s="25" t="str">
        <f>HYPERLINK("https://www.compass.com/listing/169-19-104th-avenue-queens-ny-11433/445671817156527153/view?agent_id=610d3f3370540700019b0833","169-19 104th Ave")</f>
        <v>169-19 104th Ave</v>
      </c>
      <c r="C247" s="26" t="s">
        <v>54</v>
      </c>
      <c r="D247" s="27" t="s">
        <v>23</v>
      </c>
      <c r="E247" s="28" t="str">
        <f>HYPERLINK("https://www.compass.com/building/169-19-104th-ave-queens-ny-11433/293532389831961653/","169-19 104th Ave")</f>
        <v>169-19 104th Ave</v>
      </c>
      <c r="F247" s="26" t="s">
        <v>24</v>
      </c>
      <c r="G247" s="29">
        <v>215000.0</v>
      </c>
      <c r="H247" s="29">
        <v>173.0</v>
      </c>
      <c r="I247" s="29">
        <v>248.0</v>
      </c>
      <c r="J247" s="29">
        <v>2980.0</v>
      </c>
      <c r="K247" s="26" t="s">
        <v>25</v>
      </c>
      <c r="L247" s="30"/>
      <c r="M247" s="27">
        <v>3.0</v>
      </c>
      <c r="N247" s="27">
        <v>1.0</v>
      </c>
      <c r="O247" s="27">
        <v>0.0</v>
      </c>
      <c r="P247" s="31">
        <v>1246.0</v>
      </c>
      <c r="Q247" s="32">
        <v>2.0</v>
      </c>
      <c r="R247" s="33">
        <v>43874.0</v>
      </c>
      <c r="S247" s="33">
        <v>43865.0</v>
      </c>
      <c r="T247" s="34"/>
      <c r="U247" s="35"/>
      <c r="V247" s="1"/>
    </row>
    <row r="248" ht="24.0" customHeight="1">
      <c r="A248" s="1"/>
      <c r="B248" s="25" t="str">
        <f>HYPERLINK("https://www.compass.com/listing/171-40-105th-avenue-queens-ny-11433/500847964041162705/view?agent_id=610d3f3370540700019b0833","171-40 105th Avenue")</f>
        <v>171-40 105th Avenue</v>
      </c>
      <c r="C248" s="26" t="s">
        <v>53</v>
      </c>
      <c r="D248" s="27" t="s">
        <v>23</v>
      </c>
      <c r="E248" s="28" t="str">
        <f>HYPERLINK("https://www.compass.com/building/171-40-105th-ave-queens-ny-11433/293534334982398309/","171-40 105th Ave")</f>
        <v>171-40 105th Ave</v>
      </c>
      <c r="F248" s="26" t="s">
        <v>24</v>
      </c>
      <c r="G248" s="29">
        <v>229000.0</v>
      </c>
      <c r="H248" s="29">
        <v>188.0</v>
      </c>
      <c r="I248" s="29">
        <v>250.0</v>
      </c>
      <c r="J248" s="29">
        <v>3003.0</v>
      </c>
      <c r="K248" s="26" t="s">
        <v>25</v>
      </c>
      <c r="L248" s="27">
        <v>7.0</v>
      </c>
      <c r="M248" s="27">
        <v>3.0</v>
      </c>
      <c r="N248" s="27">
        <v>1.0</v>
      </c>
      <c r="O248" s="30"/>
      <c r="P248" s="31">
        <v>1216.0</v>
      </c>
      <c r="Q248" s="32">
        <v>730.0</v>
      </c>
      <c r="R248" s="33">
        <v>45597.0</v>
      </c>
      <c r="S248" s="33">
        <v>41796.0</v>
      </c>
      <c r="T248" s="34"/>
      <c r="U248" s="35"/>
      <c r="V248" s="1"/>
    </row>
    <row r="249" ht="24.0" customHeight="1">
      <c r="A249" s="1"/>
      <c r="B249" s="25" t="str">
        <f>HYPERLINK("https://www.compass.com/listing/164-11-108th-avenue-queens-ny-11433/500850002640397185/view?agent_id=610d3f3370540700019b0833","164-11 108th Avenue")</f>
        <v>164-11 108th Avenue</v>
      </c>
      <c r="C249" s="26" t="s">
        <v>53</v>
      </c>
      <c r="D249" s="27" t="s">
        <v>23</v>
      </c>
      <c r="E249" s="28" t="str">
        <f>HYPERLINK("https://www.compass.com/building/164-11-108th-ave-queens-ny-11433/293526885319605333/","164-11 108th Ave")</f>
        <v>164-11 108th Ave</v>
      </c>
      <c r="F249" s="26" t="s">
        <v>24</v>
      </c>
      <c r="G249" s="29">
        <v>299000.0</v>
      </c>
      <c r="H249" s="29">
        <v>245.0</v>
      </c>
      <c r="I249" s="29">
        <v>210.0</v>
      </c>
      <c r="J249" s="29">
        <v>2516.0</v>
      </c>
      <c r="K249" s="26" t="s">
        <v>25</v>
      </c>
      <c r="L249" s="27">
        <v>8.0</v>
      </c>
      <c r="M249" s="27">
        <v>3.0</v>
      </c>
      <c r="N249" s="27">
        <v>1.0</v>
      </c>
      <c r="O249" s="30"/>
      <c r="P249" s="31">
        <v>1220.0</v>
      </c>
      <c r="Q249" s="32">
        <v>284.0</v>
      </c>
      <c r="R249" s="33">
        <v>45597.0</v>
      </c>
      <c r="S249" s="33">
        <v>42451.0</v>
      </c>
      <c r="T249" s="34"/>
      <c r="U249" s="35"/>
      <c r="V249" s="1"/>
    </row>
    <row r="250" ht="24.0" customHeight="1">
      <c r="A250" s="1"/>
      <c r="B250" s="25" t="str">
        <f>HYPERLINK("https://www.compass.com/listing/104-81-165th-street-queens-ny-11433/1280652769134179665/view?agent_id=610d3f3370540700019b0833","104-81 165th Street")</f>
        <v>104-81 165th Street</v>
      </c>
      <c r="C250" s="26" t="s">
        <v>53</v>
      </c>
      <c r="D250" s="27" t="s">
        <v>23</v>
      </c>
      <c r="E250" s="28" t="str">
        <f>HYPERLINK("https://www.compass.com/building/104-81-165th-st-queens-ny-11433/293417388458655221/","104-81 165th St")</f>
        <v>104-81 165th St</v>
      </c>
      <c r="F250" s="26" t="s">
        <v>24</v>
      </c>
      <c r="G250" s="29">
        <v>350000.0</v>
      </c>
      <c r="H250" s="29">
        <v>540.0</v>
      </c>
      <c r="I250" s="29">
        <v>170.0</v>
      </c>
      <c r="J250" s="29">
        <v>2037.0</v>
      </c>
      <c r="K250" s="26" t="s">
        <v>25</v>
      </c>
      <c r="L250" s="27">
        <v>5.0</v>
      </c>
      <c r="M250" s="27">
        <v>3.0</v>
      </c>
      <c r="N250" s="27">
        <v>1.0</v>
      </c>
      <c r="O250" s="30"/>
      <c r="P250" s="27">
        <v>648.0</v>
      </c>
      <c r="Q250" s="32">
        <v>119.0</v>
      </c>
      <c r="R250" s="33">
        <v>45597.0</v>
      </c>
      <c r="S250" s="33">
        <v>45018.0</v>
      </c>
      <c r="T250" s="34"/>
      <c r="U250" s="35"/>
      <c r="V250" s="1"/>
    </row>
    <row r="251" ht="24.0" customHeight="1">
      <c r="A251" s="1"/>
      <c r="B251" s="25" t="str">
        <f>HYPERLINK("https://www.compass.com/listing/107-22-171st-street-queens-ny-11433/1727037333261978601/view?agent_id=610d3f3370540700019b0833","107-22 171st Street")</f>
        <v>107-22 171st Street</v>
      </c>
      <c r="C251" s="26" t="s">
        <v>53</v>
      </c>
      <c r="D251" s="27" t="s">
        <v>23</v>
      </c>
      <c r="E251" s="28" t="str">
        <f>HYPERLINK("https://www.compass.com/building/107-22-171st-st-queens-ny-11433/293531290253159301/","107-22 171st St")</f>
        <v>107-22 171st St</v>
      </c>
      <c r="F251" s="26" t="s">
        <v>24</v>
      </c>
      <c r="G251" s="29">
        <v>350000.0</v>
      </c>
      <c r="H251" s="29">
        <v>257.0</v>
      </c>
      <c r="I251" s="29">
        <v>307.0</v>
      </c>
      <c r="J251" s="29">
        <v>3684.0</v>
      </c>
      <c r="K251" s="26" t="s">
        <v>25</v>
      </c>
      <c r="L251" s="27">
        <v>7.0</v>
      </c>
      <c r="M251" s="27">
        <v>3.0</v>
      </c>
      <c r="N251" s="27">
        <v>1.0</v>
      </c>
      <c r="O251" s="30"/>
      <c r="P251" s="31">
        <v>1364.0</v>
      </c>
      <c r="Q251" s="32">
        <v>367.0</v>
      </c>
      <c r="R251" s="33">
        <v>45634.0</v>
      </c>
      <c r="S251" s="33">
        <v>42233.0</v>
      </c>
      <c r="T251" s="34"/>
      <c r="U251" s="35"/>
      <c r="V251" s="1"/>
    </row>
    <row r="252" ht="24.0" customHeight="1">
      <c r="A252" s="1"/>
      <c r="B252" s="25" t="str">
        <f>HYPERLINK("https://www.compass.com/listing/109-35-175th-street-queens-ny-11433/1730508838386783577/view?agent_id=610d3f3370540700019b0833","109-35 175th Street")</f>
        <v>109-35 175th Street</v>
      </c>
      <c r="C252" s="26" t="s">
        <v>53</v>
      </c>
      <c r="D252" s="27" t="s">
        <v>23</v>
      </c>
      <c r="E252" s="28" t="str">
        <f>HYPERLINK("https://www.compass.com/building/109-35-175th-st-queens-ny-11433/293532387315379509/","109-35 175th St")</f>
        <v>109-35 175th St</v>
      </c>
      <c r="F252" s="26" t="s">
        <v>24</v>
      </c>
      <c r="G252" s="29">
        <v>349000.0</v>
      </c>
      <c r="H252" s="29">
        <v>260.0</v>
      </c>
      <c r="I252" s="29">
        <v>213.0</v>
      </c>
      <c r="J252" s="29">
        <v>2559.0</v>
      </c>
      <c r="K252" s="26" t="s">
        <v>25</v>
      </c>
      <c r="L252" s="27">
        <v>6.0</v>
      </c>
      <c r="M252" s="27">
        <v>3.0</v>
      </c>
      <c r="N252" s="27">
        <v>1.0</v>
      </c>
      <c r="O252" s="30"/>
      <c r="P252" s="31">
        <v>1344.0</v>
      </c>
      <c r="Q252" s="32">
        <v>179.0</v>
      </c>
      <c r="R252" s="33">
        <v>45597.0</v>
      </c>
      <c r="S252" s="33">
        <v>41381.0</v>
      </c>
      <c r="T252" s="34"/>
      <c r="U252" s="35"/>
      <c r="V252" s="1"/>
    </row>
    <row r="253" ht="24.0" customHeight="1">
      <c r="A253" s="1"/>
      <c r="B253" s="25" t="str">
        <f>HYPERLINK("https://www.compass.com/listing/109-50-153rd-street-queens-ny-11433/500868642387424681/view?agent_id=610d3f3370540700019b0833","109-50 153rd Street")</f>
        <v>109-50 153rd Street</v>
      </c>
      <c r="C253" s="26" t="s">
        <v>53</v>
      </c>
      <c r="D253" s="27" t="s">
        <v>23</v>
      </c>
      <c r="E253" s="28" t="str">
        <f>HYPERLINK("https://www.compass.com/building/109-50-153rd-st-queens-ny-11433/293529699462707621/","109-50 153rd St")</f>
        <v>109-50 153rd St</v>
      </c>
      <c r="F253" s="26" t="s">
        <v>24</v>
      </c>
      <c r="G253" s="29">
        <v>360000.0</v>
      </c>
      <c r="H253" s="29">
        <v>269.0</v>
      </c>
      <c r="I253" s="29">
        <v>278.0</v>
      </c>
      <c r="J253" s="29">
        <v>3341.0</v>
      </c>
      <c r="K253" s="26" t="s">
        <v>25</v>
      </c>
      <c r="L253" s="27">
        <v>6.0</v>
      </c>
      <c r="M253" s="27">
        <v>3.0</v>
      </c>
      <c r="N253" s="27">
        <v>1.0</v>
      </c>
      <c r="O253" s="30"/>
      <c r="P253" s="31">
        <v>1338.0</v>
      </c>
      <c r="Q253" s="32">
        <v>58.0</v>
      </c>
      <c r="R253" s="33">
        <v>45597.0</v>
      </c>
      <c r="S253" s="33">
        <v>43154.0</v>
      </c>
      <c r="T253" s="34"/>
      <c r="U253" s="35"/>
      <c r="V253" s="1"/>
    </row>
    <row r="254" ht="24.0" customHeight="1">
      <c r="A254" s="1"/>
      <c r="B254" s="25" t="str">
        <f>HYPERLINK("https://www.compass.com/listing/110-31-153rd-street-queens-ny-11433/1726426715932763985/view?agent_id=610d3f3370540700019b0833","110-31 153rd Street")</f>
        <v>110-31 153rd Street</v>
      </c>
      <c r="C254" s="26" t="s">
        <v>53</v>
      </c>
      <c r="D254" s="27" t="s">
        <v>23</v>
      </c>
      <c r="E254" s="28" t="str">
        <f>HYPERLINK("https://www.compass.com/building/110-31-153rd-st-queens-ny-11433/293529738343922405/","110-31 153rd St")</f>
        <v>110-31 153rd St</v>
      </c>
      <c r="F254" s="26" t="s">
        <v>24</v>
      </c>
      <c r="G254" s="29">
        <v>319000.0</v>
      </c>
      <c r="H254" s="29">
        <v>368.0</v>
      </c>
      <c r="I254" s="29">
        <v>139.0</v>
      </c>
      <c r="J254" s="29">
        <v>1663.0</v>
      </c>
      <c r="K254" s="26" t="s">
        <v>25</v>
      </c>
      <c r="L254" s="27">
        <v>6.0</v>
      </c>
      <c r="M254" s="27">
        <v>3.0</v>
      </c>
      <c r="N254" s="27">
        <v>1.0</v>
      </c>
      <c r="O254" s="30"/>
      <c r="P254" s="27">
        <v>866.0</v>
      </c>
      <c r="Q254" s="32">
        <v>34.0</v>
      </c>
      <c r="R254" s="33">
        <v>45633.0</v>
      </c>
      <c r="S254" s="33">
        <v>41676.0</v>
      </c>
      <c r="T254" s="34"/>
      <c r="U254" s="35"/>
      <c r="V254" s="1"/>
    </row>
    <row r="255" ht="24.0" customHeight="1">
      <c r="A255" s="1"/>
      <c r="B255" s="25" t="str">
        <f>HYPERLINK("https://www.compass.com/listing/105-47-171st-place-queens-ny-11433/763282524202149833/view?agent_id=610d3f3370540700019b0833","105-47 171st Place")</f>
        <v>105-47 171st Place</v>
      </c>
      <c r="C255" s="26" t="s">
        <v>53</v>
      </c>
      <c r="D255" s="27" t="s">
        <v>23</v>
      </c>
      <c r="E255" s="28" t="str">
        <f>HYPERLINK("https://www.compass.com/building/105-47-171st-pl-queens-ny-11433/293528527414793941/","105-47 171st Pl")</f>
        <v>105-47 171st Pl</v>
      </c>
      <c r="F255" s="26" t="s">
        <v>24</v>
      </c>
      <c r="G255" s="29">
        <v>359000.0</v>
      </c>
      <c r="H255" s="29">
        <v>401.0</v>
      </c>
      <c r="I255" s="29">
        <v>208.0</v>
      </c>
      <c r="J255" s="29">
        <v>2500.0</v>
      </c>
      <c r="K255" s="26" t="s">
        <v>25</v>
      </c>
      <c r="L255" s="27">
        <v>6.0</v>
      </c>
      <c r="M255" s="27">
        <v>3.0</v>
      </c>
      <c r="N255" s="27">
        <v>1.0</v>
      </c>
      <c r="O255" s="30"/>
      <c r="P255" s="27">
        <v>896.0</v>
      </c>
      <c r="Q255" s="32">
        <v>272.0</v>
      </c>
      <c r="R255" s="33">
        <v>45597.0</v>
      </c>
      <c r="S255" s="33">
        <v>44105.0</v>
      </c>
      <c r="T255" s="34"/>
      <c r="U255" s="35"/>
      <c r="V255" s="1"/>
    </row>
    <row r="256" ht="24.0" customHeight="1">
      <c r="A256" s="1"/>
      <c r="B256" s="25" t="str">
        <f>HYPERLINK("https://www.compass.com/listing/107-06-guy-r-brewer-boulevard-queens-ny-11433/1727049436731090361/view?agent_id=610d3f3370540700019b0833","107-06 Guy R Brewer Boulevard")</f>
        <v>107-06 Guy R Brewer Boulevard</v>
      </c>
      <c r="C256" s="26" t="s">
        <v>53</v>
      </c>
      <c r="D256" s="27" t="s">
        <v>23</v>
      </c>
      <c r="E256" s="28" t="str">
        <f>HYPERLINK("https://www.compass.com/building/107-06-guy-r-brewer-blvd-queens-ny-11433/307451021454103093/","107-06 Guy R Brewer Blvd")</f>
        <v>107-06 Guy R Brewer Blvd</v>
      </c>
      <c r="F256" s="26" t="s">
        <v>24</v>
      </c>
      <c r="G256" s="29">
        <v>150000.0</v>
      </c>
      <c r="H256" s="34"/>
      <c r="I256" s="29">
        <v>302.0</v>
      </c>
      <c r="J256" s="29">
        <v>1225.0</v>
      </c>
      <c r="K256" s="26" t="s">
        <v>31</v>
      </c>
      <c r="L256" s="27">
        <v>6.0</v>
      </c>
      <c r="M256" s="27">
        <v>3.0</v>
      </c>
      <c r="N256" s="27">
        <v>1.0</v>
      </c>
      <c r="O256" s="30"/>
      <c r="P256" s="30"/>
      <c r="Q256" s="32">
        <v>122.0</v>
      </c>
      <c r="R256" s="33">
        <v>45634.0</v>
      </c>
      <c r="S256" s="33">
        <v>42252.0</v>
      </c>
      <c r="T256" s="34"/>
      <c r="U256" s="35"/>
      <c r="V256" s="1"/>
    </row>
    <row r="257" ht="24.0" customHeight="1">
      <c r="A257" s="1"/>
      <c r="B257" s="25" t="str">
        <f>HYPERLINK("https://www.compass.com/listing/107-10-guy-r-brewer-boulevard-queens-ny-11433/1730731818249348769/view?agent_id=610d3f3370540700019b0833","107-10 Guy R Brewer Boulevard")</f>
        <v>107-10 Guy R Brewer Boulevard</v>
      </c>
      <c r="C257" s="26" t="s">
        <v>53</v>
      </c>
      <c r="D257" s="27" t="s">
        <v>23</v>
      </c>
      <c r="E257" s="28" t="str">
        <f t="shared" ref="E257:E258" si="12">HYPERLINK("https://www.compass.com/building/107-10-guy-r-brewer-blvd-queens-ny-11433/307439301226595861/","107-10 Guy R Brewer Blvd")</f>
        <v>107-10 Guy R Brewer Blvd</v>
      </c>
      <c r="F257" s="26" t="s">
        <v>24</v>
      </c>
      <c r="G257" s="29">
        <v>249000.0</v>
      </c>
      <c r="H257" s="34"/>
      <c r="I257" s="29">
        <v>280.0</v>
      </c>
      <c r="J257" s="29">
        <v>964.0</v>
      </c>
      <c r="K257" s="26" t="s">
        <v>31</v>
      </c>
      <c r="L257" s="27">
        <v>5.0</v>
      </c>
      <c r="M257" s="27">
        <v>3.0</v>
      </c>
      <c r="N257" s="27">
        <v>1.0</v>
      </c>
      <c r="O257" s="30"/>
      <c r="P257" s="30"/>
      <c r="Q257" s="32">
        <v>387.0</v>
      </c>
      <c r="R257" s="33">
        <v>45597.0</v>
      </c>
      <c r="S257" s="33">
        <v>41586.0</v>
      </c>
      <c r="T257" s="34"/>
      <c r="U257" s="35"/>
      <c r="V257" s="1"/>
    </row>
    <row r="258" ht="24.0" customHeight="1">
      <c r="A258" s="1"/>
      <c r="B258" s="25" t="str">
        <f>HYPERLINK("https://www.compass.com/listing/107-10-guy-r-brewer-boulevard-queens-ny-11433/1730702187521624977/view?agent_id=610d3f3370540700019b0833","107-10 Guy R Brewer Boulevard")</f>
        <v>107-10 Guy R Brewer Boulevard</v>
      </c>
      <c r="C258" s="26" t="s">
        <v>53</v>
      </c>
      <c r="D258" s="27" t="s">
        <v>23</v>
      </c>
      <c r="E258" s="28" t="str">
        <f t="shared" si="12"/>
        <v>107-10 Guy R Brewer Blvd</v>
      </c>
      <c r="F258" s="26" t="s">
        <v>24</v>
      </c>
      <c r="G258" s="29">
        <v>229000.0</v>
      </c>
      <c r="H258" s="34"/>
      <c r="I258" s="29">
        <v>295.0</v>
      </c>
      <c r="J258" s="29">
        <v>964.0</v>
      </c>
      <c r="K258" s="26" t="s">
        <v>31</v>
      </c>
      <c r="L258" s="27">
        <v>5.0</v>
      </c>
      <c r="M258" s="27">
        <v>3.0</v>
      </c>
      <c r="N258" s="27">
        <v>1.0</v>
      </c>
      <c r="O258" s="30"/>
      <c r="P258" s="30"/>
      <c r="Q258" s="32">
        <v>365.0</v>
      </c>
      <c r="R258" s="33">
        <v>45597.0</v>
      </c>
      <c r="S258" s="33">
        <v>41911.0</v>
      </c>
      <c r="T258" s="34"/>
      <c r="U258" s="35"/>
      <c r="V258" s="1"/>
    </row>
    <row r="259" ht="24.0" customHeight="1">
      <c r="A259" s="1"/>
      <c r="B259" s="25" t="str">
        <f>HYPERLINK("https://www.compass.com/listing/108-30-175th-street-queens-ny-11433/1730512942639673801/view?agent_id=610d3f3370540700019b0833","108-30 175th Street")</f>
        <v>108-30 175th Street</v>
      </c>
      <c r="C259" s="26" t="s">
        <v>53</v>
      </c>
      <c r="D259" s="27" t="s">
        <v>23</v>
      </c>
      <c r="E259" s="28" t="str">
        <f>HYPERLINK("https://www.compass.com/building/108-30-175th-st-queens-ny-11433/293526233751242213/","108-30 175th St")</f>
        <v>108-30 175th St</v>
      </c>
      <c r="F259" s="26" t="s">
        <v>24</v>
      </c>
      <c r="G259" s="29">
        <v>165000.0</v>
      </c>
      <c r="H259" s="29">
        <v>183.0</v>
      </c>
      <c r="I259" s="29">
        <v>166.0</v>
      </c>
      <c r="J259" s="29">
        <v>1986.0</v>
      </c>
      <c r="K259" s="26" t="s">
        <v>25</v>
      </c>
      <c r="L259" s="27">
        <v>6.0</v>
      </c>
      <c r="M259" s="27">
        <v>3.0</v>
      </c>
      <c r="N259" s="27">
        <v>1.0</v>
      </c>
      <c r="O259" s="30"/>
      <c r="P259" s="27">
        <v>904.0</v>
      </c>
      <c r="Q259" s="32">
        <v>364.0</v>
      </c>
      <c r="R259" s="33">
        <v>45597.0</v>
      </c>
      <c r="S259" s="33">
        <v>41491.0</v>
      </c>
      <c r="T259" s="34"/>
      <c r="U259" s="35"/>
      <c r="V259" s="1"/>
    </row>
    <row r="260" ht="24.0" customHeight="1">
      <c r="A260" s="1"/>
      <c r="B260" s="25" t="str">
        <f>HYPERLINK("https://www.compass.com/listing/173-56-105th-avenue-queens-ny-11433/1730623840464783465/view?agent_id=610d3f3370540700019b0833","173-56 105th Avenue")</f>
        <v>173-56 105th Avenue</v>
      </c>
      <c r="C260" s="26" t="s">
        <v>53</v>
      </c>
      <c r="D260" s="27" t="s">
        <v>23</v>
      </c>
      <c r="E260" s="28" t="str">
        <f>HYPERLINK("https://www.compass.com/building/173-56-105th-ave-queens-ny-11433/293533527301984917/","173-56 105th Ave")</f>
        <v>173-56 105th Ave</v>
      </c>
      <c r="F260" s="26" t="s">
        <v>24</v>
      </c>
      <c r="G260" s="29">
        <v>139000.0</v>
      </c>
      <c r="H260" s="29">
        <v>112.0</v>
      </c>
      <c r="I260" s="29">
        <v>73.0</v>
      </c>
      <c r="J260" s="29">
        <v>875.0</v>
      </c>
      <c r="K260" s="26" t="s">
        <v>25</v>
      </c>
      <c r="L260" s="27">
        <v>5.0</v>
      </c>
      <c r="M260" s="27">
        <v>3.0</v>
      </c>
      <c r="N260" s="27">
        <v>1.0</v>
      </c>
      <c r="O260" s="30"/>
      <c r="P260" s="31">
        <v>1244.0</v>
      </c>
      <c r="Q260" s="32">
        <v>0.0</v>
      </c>
      <c r="R260" s="33">
        <v>45597.0</v>
      </c>
      <c r="S260" s="33">
        <v>40932.0</v>
      </c>
      <c r="T260" s="34"/>
      <c r="U260" s="35"/>
      <c r="V260" s="1"/>
    </row>
    <row r="261" ht="24.0" customHeight="1">
      <c r="A261" s="1"/>
      <c r="B261" s="25" t="str">
        <f>HYPERLINK("https://www.compass.com/listing/107-22-171st-place-queens-ny-11433/29131638105440433/view?agent_id=610d3f3370540700019b0833","107-22 171st Place")</f>
        <v>107-22 171st Place</v>
      </c>
      <c r="C261" s="26" t="s">
        <v>53</v>
      </c>
      <c r="D261" s="27" t="s">
        <v>23</v>
      </c>
      <c r="E261" s="28" t="str">
        <f>HYPERLINK("https://www.compass.com/building/107-22-171st-pl-queens-ny-11433/293417605908227781/","107-22 171st Pl")</f>
        <v>107-22 171st Pl</v>
      </c>
      <c r="F261" s="26" t="s">
        <v>24</v>
      </c>
      <c r="G261" s="29">
        <v>125000.0</v>
      </c>
      <c r="H261" s="29">
        <v>79.0</v>
      </c>
      <c r="I261" s="29">
        <v>269.0</v>
      </c>
      <c r="J261" s="29">
        <v>3225.0</v>
      </c>
      <c r="K261" s="26" t="s">
        <v>25</v>
      </c>
      <c r="L261" s="27">
        <v>11.0</v>
      </c>
      <c r="M261" s="27">
        <v>3.0</v>
      </c>
      <c r="N261" s="27">
        <v>1.0</v>
      </c>
      <c r="O261" s="30"/>
      <c r="P261" s="31">
        <v>1586.0</v>
      </c>
      <c r="Q261" s="32">
        <v>7.0</v>
      </c>
      <c r="R261" s="33">
        <v>45597.0</v>
      </c>
      <c r="S261" s="33">
        <v>42507.0</v>
      </c>
      <c r="T261" s="34"/>
      <c r="U261" s="35"/>
      <c r="V261" s="1"/>
    </row>
    <row r="262" ht="24.0" customHeight="1">
      <c r="A262" s="1"/>
      <c r="B262" s="25" t="str">
        <f>HYPERLINK("https://www.compass.com/listing/111-20-156th-street-queens-ny-11433/501525714013601417/view?agent_id=610d3f3370540700019b0833","111-20 156th Street")</f>
        <v>111-20 156th Street</v>
      </c>
      <c r="C262" s="26" t="s">
        <v>53</v>
      </c>
      <c r="D262" s="27" t="s">
        <v>23</v>
      </c>
      <c r="E262" s="28" t="str">
        <f>HYPERLINK("https://www.compass.com/building/111-20-156th-st-queens-ny-11433/293535120952950693/","111-20 156th St")</f>
        <v>111-20 156th St</v>
      </c>
      <c r="F262" s="26" t="s">
        <v>24</v>
      </c>
      <c r="G262" s="29">
        <v>150000.0</v>
      </c>
      <c r="H262" s="29">
        <v>100.0</v>
      </c>
      <c r="I262" s="29">
        <v>208.0</v>
      </c>
      <c r="J262" s="29">
        <v>2500.0</v>
      </c>
      <c r="K262" s="26" t="s">
        <v>25</v>
      </c>
      <c r="L262" s="27">
        <v>5.0</v>
      </c>
      <c r="M262" s="27">
        <v>3.0</v>
      </c>
      <c r="N262" s="27">
        <v>1.0</v>
      </c>
      <c r="O262" s="30"/>
      <c r="P262" s="31">
        <v>1494.0</v>
      </c>
      <c r="Q262" s="32">
        <v>184.0</v>
      </c>
      <c r="R262" s="33">
        <v>45636.0</v>
      </c>
      <c r="S262" s="33">
        <v>42577.0</v>
      </c>
      <c r="T262" s="34"/>
      <c r="U262" s="35"/>
      <c r="V262" s="1"/>
    </row>
    <row r="263" ht="24.0" customHeight="1">
      <c r="A263" s="1"/>
      <c r="B263" s="25" t="str">
        <f>HYPERLINK("https://www.compass.com/listing/172-04-109th-avenue-queens-ny-11433/1023076998465423097/view?agent_id=610d3f3370540700019b0833","172-04 109th Avenue")</f>
        <v>172-04 109th Avenue</v>
      </c>
      <c r="C263" s="26" t="s">
        <v>53</v>
      </c>
      <c r="D263" s="27" t="s">
        <v>23</v>
      </c>
      <c r="E263" s="28" t="str">
        <f>HYPERLINK("https://www.compass.com/building/172-04-109th-ave-queens-ny-11433/293529443048142181/","172-04 109th Ave")</f>
        <v>172-04 109th Ave</v>
      </c>
      <c r="F263" s="26" t="s">
        <v>24</v>
      </c>
      <c r="G263" s="29">
        <v>240000.0</v>
      </c>
      <c r="H263" s="29">
        <v>132.0</v>
      </c>
      <c r="I263" s="29">
        <v>397.0</v>
      </c>
      <c r="J263" s="29">
        <v>4760.0</v>
      </c>
      <c r="K263" s="26" t="s">
        <v>25</v>
      </c>
      <c r="L263" s="27">
        <v>7.0</v>
      </c>
      <c r="M263" s="27">
        <v>3.0</v>
      </c>
      <c r="N263" s="27">
        <v>1.0</v>
      </c>
      <c r="O263" s="30"/>
      <c r="P263" s="31">
        <v>1822.0</v>
      </c>
      <c r="Q263" s="32">
        <v>365.0</v>
      </c>
      <c r="R263" s="33">
        <v>45597.0</v>
      </c>
      <c r="S263" s="33">
        <v>44663.0</v>
      </c>
      <c r="T263" s="34"/>
      <c r="U263" s="35"/>
      <c r="V263" s="1"/>
    </row>
    <row r="264" ht="24.0" customHeight="1">
      <c r="A264" s="1"/>
      <c r="B264" s="25" t="str">
        <f>HYPERLINK("https://www.compass.com/listing/107-24-154th-street-queens-ny-11433/1730508217504433657/view?agent_id=610d3f3370540700019b0833","107-24 154th Street")</f>
        <v>107-24 154th Street</v>
      </c>
      <c r="C264" s="26" t="s">
        <v>53</v>
      </c>
      <c r="D264" s="27" t="s">
        <v>23</v>
      </c>
      <c r="E264" s="28" t="str">
        <f>HYPERLINK("https://www.compass.com/building/107-24-154th-st-queens-ny-11433/293529437419383605/","107-24 154th St")</f>
        <v>107-24 154th St</v>
      </c>
      <c r="F264" s="26" t="s">
        <v>24</v>
      </c>
      <c r="G264" s="29">
        <v>295000.0</v>
      </c>
      <c r="H264" s="29">
        <v>338.0</v>
      </c>
      <c r="I264" s="29">
        <v>282.0</v>
      </c>
      <c r="J264" s="29">
        <v>3380.0</v>
      </c>
      <c r="K264" s="26" t="s">
        <v>25</v>
      </c>
      <c r="L264" s="27">
        <v>5.0</v>
      </c>
      <c r="M264" s="27">
        <v>3.0</v>
      </c>
      <c r="N264" s="27">
        <v>1.0</v>
      </c>
      <c r="O264" s="30"/>
      <c r="P264" s="27">
        <v>874.0</v>
      </c>
      <c r="Q264" s="32">
        <v>184.0</v>
      </c>
      <c r="R264" s="33">
        <v>45597.0</v>
      </c>
      <c r="S264" s="33">
        <v>41493.0</v>
      </c>
      <c r="T264" s="34"/>
      <c r="U264" s="35"/>
      <c r="V264" s="1"/>
    </row>
    <row r="265" ht="24.0" customHeight="1">
      <c r="A265" s="1"/>
      <c r="B265" s="25" t="str">
        <f>HYPERLINK("https://www.compass.com/listing/110-38-168th-street-queens-ny-11433/1730619099165003313/view?agent_id=610d3f3370540700019b0833","110-38 168th Street")</f>
        <v>110-38 168th Street</v>
      </c>
      <c r="C265" s="26" t="s">
        <v>53</v>
      </c>
      <c r="D265" s="27" t="s">
        <v>23</v>
      </c>
      <c r="E265" s="28" t="str">
        <f>HYPERLINK("https://www.compass.com/building/110-38-168th-st-queens-ny-11433/293418090090217029/","110-38 168th St")</f>
        <v>110-38 168th St</v>
      </c>
      <c r="F265" s="26" t="s">
        <v>24</v>
      </c>
      <c r="G265" s="29">
        <v>300000.0</v>
      </c>
      <c r="H265" s="29">
        <v>306.0</v>
      </c>
      <c r="I265" s="29">
        <v>226.0</v>
      </c>
      <c r="J265" s="29">
        <v>2716.0</v>
      </c>
      <c r="K265" s="26" t="s">
        <v>25</v>
      </c>
      <c r="L265" s="27">
        <v>7.0</v>
      </c>
      <c r="M265" s="27">
        <v>3.0</v>
      </c>
      <c r="N265" s="27">
        <v>1.0</v>
      </c>
      <c r="O265" s="30"/>
      <c r="P265" s="27">
        <v>979.0</v>
      </c>
      <c r="Q265" s="32">
        <v>30.0</v>
      </c>
      <c r="R265" s="33">
        <v>45616.0</v>
      </c>
      <c r="S265" s="33">
        <v>42093.0</v>
      </c>
      <c r="T265" s="34"/>
      <c r="U265" s="35"/>
      <c r="V265" s="1"/>
    </row>
    <row r="266" ht="24.0" customHeight="1">
      <c r="A266" s="1"/>
      <c r="B266" s="25" t="str">
        <f>HYPERLINK("https://www.compass.com/listing/174-35-polhemus-avenue-queens-ny-11433/1730627269358797961/view?agent_id=610d3f3370540700019b0833","174-35 Polhemus Avenue")</f>
        <v>174-35 Polhemus Avenue</v>
      </c>
      <c r="C266" s="26" t="s">
        <v>53</v>
      </c>
      <c r="D266" s="27" t="s">
        <v>23</v>
      </c>
      <c r="E266" s="28" t="str">
        <f>HYPERLINK("https://www.compass.com/building/174-35-polhemus-ave-queens-ny-11433/293530936698487189/","174-35 Polhemus Ave")</f>
        <v>174-35 Polhemus Ave</v>
      </c>
      <c r="F266" s="26" t="s">
        <v>24</v>
      </c>
      <c r="G266" s="29">
        <v>201000.0</v>
      </c>
      <c r="H266" s="29">
        <v>106.0</v>
      </c>
      <c r="I266" s="29">
        <v>285.0</v>
      </c>
      <c r="J266" s="29">
        <v>3415.0</v>
      </c>
      <c r="K266" s="26" t="s">
        <v>25</v>
      </c>
      <c r="L266" s="27">
        <v>6.0</v>
      </c>
      <c r="M266" s="27">
        <v>3.0</v>
      </c>
      <c r="N266" s="27">
        <v>1.0</v>
      </c>
      <c r="O266" s="30"/>
      <c r="P266" s="31">
        <v>1890.0</v>
      </c>
      <c r="Q266" s="32">
        <v>19.0</v>
      </c>
      <c r="R266" s="33">
        <v>45616.0</v>
      </c>
      <c r="S266" s="33">
        <v>42066.0</v>
      </c>
      <c r="T266" s="34"/>
      <c r="U266" s="35"/>
      <c r="V266" s="1"/>
    </row>
    <row r="267" ht="24.0" customHeight="1">
      <c r="A267" s="1"/>
      <c r="B267" s="25" t="str">
        <f>HYPERLINK("https://www.compass.com/listing/111-19-156th-street-queens-ny-11433/1730628536928100473/view?agent_id=610d3f3370540700019b0833","111-19 156th Street")</f>
        <v>111-19 156th Street</v>
      </c>
      <c r="C267" s="26" t="s">
        <v>53</v>
      </c>
      <c r="D267" s="27" t="s">
        <v>23</v>
      </c>
      <c r="E267" s="28" t="str">
        <f>HYPERLINK("https://www.compass.com/building/111-19-156th-st-queens-ny-11433/293417591798583317/","111-19 156th St")</f>
        <v>111-19 156th St</v>
      </c>
      <c r="F267" s="26" t="s">
        <v>24</v>
      </c>
      <c r="G267" s="29">
        <v>214000.0</v>
      </c>
      <c r="H267" s="29">
        <v>176.0</v>
      </c>
      <c r="I267" s="29">
        <v>216.0</v>
      </c>
      <c r="J267" s="29">
        <v>2592.0</v>
      </c>
      <c r="K267" s="26" t="s">
        <v>25</v>
      </c>
      <c r="L267" s="27">
        <v>6.0</v>
      </c>
      <c r="M267" s="27">
        <v>3.0</v>
      </c>
      <c r="N267" s="27">
        <v>1.0</v>
      </c>
      <c r="O267" s="30"/>
      <c r="P267" s="31">
        <v>1216.0</v>
      </c>
      <c r="Q267" s="32">
        <v>218.0</v>
      </c>
      <c r="R267" s="33">
        <v>45616.0</v>
      </c>
      <c r="S267" s="33">
        <v>42050.0</v>
      </c>
      <c r="T267" s="34"/>
      <c r="U267" s="35"/>
      <c r="V267" s="1"/>
    </row>
    <row r="268" ht="24.0" customHeight="1">
      <c r="A268" s="1"/>
      <c r="B268" s="25" t="str">
        <f>HYPERLINK("https://www.compass.com/listing/110-33-160th-street-queens-ny-11433/1730712719402858257/view?agent_id=610d3f3370540700019b0833","110-33 160th Street")</f>
        <v>110-33 160th Street</v>
      </c>
      <c r="C268" s="26" t="s">
        <v>53</v>
      </c>
      <c r="D268" s="27" t="s">
        <v>23</v>
      </c>
      <c r="E268" s="28" t="str">
        <f>HYPERLINK("https://www.compass.com/building/110-33-160th-st-queens-ny-11433/293529656965999173/","110-33 160th St")</f>
        <v>110-33 160th St</v>
      </c>
      <c r="F268" s="26" t="s">
        <v>24</v>
      </c>
      <c r="G268" s="29">
        <v>180000.0</v>
      </c>
      <c r="H268" s="29">
        <v>133.0</v>
      </c>
      <c r="I268" s="29">
        <v>185.0</v>
      </c>
      <c r="J268" s="29">
        <v>2217.0</v>
      </c>
      <c r="K268" s="26" t="s">
        <v>25</v>
      </c>
      <c r="L268" s="27">
        <v>6.0</v>
      </c>
      <c r="M268" s="27">
        <v>3.0</v>
      </c>
      <c r="N268" s="27">
        <v>1.0</v>
      </c>
      <c r="O268" s="30"/>
      <c r="P268" s="31">
        <v>1352.0</v>
      </c>
      <c r="Q268" s="32">
        <v>21.0</v>
      </c>
      <c r="R268" s="33">
        <v>45597.0</v>
      </c>
      <c r="S268" s="33">
        <v>41828.0</v>
      </c>
      <c r="T268" s="34"/>
      <c r="U268" s="35"/>
      <c r="V268" s="1"/>
    </row>
    <row r="269" ht="24.0" customHeight="1">
      <c r="A269" s="1"/>
      <c r="B269" s="25" t="str">
        <f>HYPERLINK("https://www.compass.com/listing/107-24-170th-street-queens-ny-11433/1730719895974210345/view?agent_id=610d3f3370540700019b0833","107-24 170th Street")</f>
        <v>107-24 170th Street</v>
      </c>
      <c r="C269" s="26" t="s">
        <v>53</v>
      </c>
      <c r="D269" s="27" t="s">
        <v>23</v>
      </c>
      <c r="E269" s="27" t="s">
        <v>55</v>
      </c>
      <c r="F269" s="26" t="s">
        <v>24</v>
      </c>
      <c r="G269" s="29">
        <v>265000.0</v>
      </c>
      <c r="H269" s="34"/>
      <c r="I269" s="29">
        <v>294.0</v>
      </c>
      <c r="J269" s="29">
        <v>3531.0</v>
      </c>
      <c r="K269" s="26" t="s">
        <v>25</v>
      </c>
      <c r="L269" s="27">
        <v>7.0</v>
      </c>
      <c r="M269" s="27">
        <v>3.0</v>
      </c>
      <c r="N269" s="27">
        <v>1.0</v>
      </c>
      <c r="O269" s="30"/>
      <c r="P269" s="30"/>
      <c r="Q269" s="32">
        <v>244.0</v>
      </c>
      <c r="R269" s="33">
        <v>45616.0</v>
      </c>
      <c r="S269" s="33">
        <v>42194.0</v>
      </c>
      <c r="T269" s="34"/>
      <c r="U269" s="35"/>
      <c r="V269" s="1"/>
    </row>
    <row r="270" ht="24.0" customHeight="1">
      <c r="A270" s="1"/>
      <c r="B270" s="25" t="str">
        <f>HYPERLINK("https://www.compass.com/listing/164-38-108th-drive-queens-ny-11433/1730723827597262737/view?agent_id=610d3f3370540700019b0833","164-38 108th Drive")</f>
        <v>164-38 108th Drive</v>
      </c>
      <c r="C270" s="26" t="s">
        <v>53</v>
      </c>
      <c r="D270" s="27" t="s">
        <v>23</v>
      </c>
      <c r="E270" s="28" t="str">
        <f>HYPERLINK("https://www.compass.com/building/164-38-108th-dr-queens-ny-11433/293531550358714405/","164-38 108th Dr")</f>
        <v>164-38 108th Dr</v>
      </c>
      <c r="F270" s="26" t="s">
        <v>24</v>
      </c>
      <c r="G270" s="29">
        <v>304000.0</v>
      </c>
      <c r="H270" s="29">
        <v>300.0</v>
      </c>
      <c r="I270" s="29">
        <v>147.0</v>
      </c>
      <c r="J270" s="29">
        <v>1764.0</v>
      </c>
      <c r="K270" s="26" t="s">
        <v>25</v>
      </c>
      <c r="L270" s="27">
        <v>7.0</v>
      </c>
      <c r="M270" s="27">
        <v>3.0</v>
      </c>
      <c r="N270" s="27">
        <v>1.0</v>
      </c>
      <c r="O270" s="30"/>
      <c r="P270" s="31">
        <v>1014.0</v>
      </c>
      <c r="Q270" s="32">
        <v>365.0</v>
      </c>
      <c r="R270" s="33">
        <v>45597.0</v>
      </c>
      <c r="S270" s="33">
        <v>41492.0</v>
      </c>
      <c r="T270" s="34"/>
      <c r="U270" s="35"/>
      <c r="V270" s="1"/>
    </row>
    <row r="271" ht="24.0" customHeight="1">
      <c r="A271" s="1"/>
      <c r="B271" s="25" t="str">
        <f>HYPERLINK("https://www.compass.com/listing/158-18-111th-avenue-queens-ny-11433/353412949795804097/view?agent_id=610d3f3370540700019b0833","158-18 111th Avenue")</f>
        <v>158-18 111th Avenue</v>
      </c>
      <c r="C271" s="26" t="s">
        <v>53</v>
      </c>
      <c r="D271" s="27" t="s">
        <v>23</v>
      </c>
      <c r="E271" s="28" t="str">
        <f>HYPERLINK("https://www.compass.com/building/158-18-111th-ave-queens-ny-11433/293418049321566853/","158-18 111th Ave")</f>
        <v>158-18 111th Ave</v>
      </c>
      <c r="F271" s="26" t="s">
        <v>24</v>
      </c>
      <c r="G271" s="29">
        <v>299000.0</v>
      </c>
      <c r="H271" s="29">
        <v>240.0</v>
      </c>
      <c r="I271" s="29">
        <v>154.0</v>
      </c>
      <c r="J271" s="29">
        <v>1849.0</v>
      </c>
      <c r="K271" s="26" t="s">
        <v>25</v>
      </c>
      <c r="L271" s="27">
        <v>5.0</v>
      </c>
      <c r="M271" s="27">
        <v>3.0</v>
      </c>
      <c r="N271" s="27">
        <v>1.0</v>
      </c>
      <c r="O271" s="30"/>
      <c r="P271" s="31">
        <v>1248.0</v>
      </c>
      <c r="Q271" s="32">
        <v>106.0</v>
      </c>
      <c r="R271" s="33">
        <v>45543.0</v>
      </c>
      <c r="S271" s="33">
        <v>40436.0</v>
      </c>
      <c r="T271" s="34"/>
      <c r="U271" s="35"/>
      <c r="V271" s="1"/>
    </row>
    <row r="272" ht="24.0" customHeight="1">
      <c r="A272" s="1"/>
      <c r="B272" s="25" t="str">
        <f>HYPERLINK("https://www.compass.com/listing/110-19-159th-street-queens-ny-11433/1730793727745222753/view?agent_id=610d3f3370540700019b0833","110-19 159th Street")</f>
        <v>110-19 159th Street</v>
      </c>
      <c r="C272" s="26" t="s">
        <v>53</v>
      </c>
      <c r="D272" s="27" t="s">
        <v>23</v>
      </c>
      <c r="E272" s="28" t="str">
        <f>HYPERLINK("https://www.compass.com/building/110-19-159th-st-queens-ny-11433/293534314614847429/","110-19 159th St")</f>
        <v>110-19 159th St</v>
      </c>
      <c r="F272" s="26" t="s">
        <v>24</v>
      </c>
      <c r="G272" s="29">
        <v>400000.0</v>
      </c>
      <c r="H272" s="29">
        <v>282.0</v>
      </c>
      <c r="I272" s="29">
        <v>226.0</v>
      </c>
      <c r="J272" s="29">
        <v>2714.0</v>
      </c>
      <c r="K272" s="26" t="s">
        <v>25</v>
      </c>
      <c r="L272" s="27">
        <v>8.0</v>
      </c>
      <c r="M272" s="27">
        <v>3.0</v>
      </c>
      <c r="N272" s="27">
        <v>1.0</v>
      </c>
      <c r="O272" s="30"/>
      <c r="P272" s="31">
        <v>1416.0</v>
      </c>
      <c r="Q272" s="32">
        <v>184.0</v>
      </c>
      <c r="R272" s="33">
        <v>45597.0</v>
      </c>
      <c r="S272" s="33">
        <v>42230.0</v>
      </c>
      <c r="T272" s="34"/>
      <c r="U272" s="35"/>
      <c r="V272" s="1"/>
    </row>
    <row r="273" ht="24.0" customHeight="1">
      <c r="A273" s="1"/>
      <c r="B273" s="25" t="str">
        <f>HYPERLINK("https://www.compass.com/listing/169-19-104th-avenue-queens-ny-11433/475505024278189209/view?agent_id=610d3f3370540700019b0833","169-19 104th Avenue")</f>
        <v>169-19 104th Avenue</v>
      </c>
      <c r="C273" s="26" t="s">
        <v>53</v>
      </c>
      <c r="D273" s="27" t="s">
        <v>23</v>
      </c>
      <c r="E273" s="28" t="str">
        <f>HYPERLINK("https://www.compass.com/building/169-19-104th-ave-queens-ny-11433/293532389831961653/","169-19 104th Ave")</f>
        <v>169-19 104th Ave</v>
      </c>
      <c r="F273" s="26" t="s">
        <v>24</v>
      </c>
      <c r="G273" s="29">
        <v>420000.0</v>
      </c>
      <c r="H273" s="29">
        <v>337.0</v>
      </c>
      <c r="I273" s="29">
        <v>248.0</v>
      </c>
      <c r="J273" s="29">
        <v>2980.0</v>
      </c>
      <c r="K273" s="26" t="s">
        <v>25</v>
      </c>
      <c r="L273" s="27">
        <v>5.0</v>
      </c>
      <c r="M273" s="27">
        <v>3.0</v>
      </c>
      <c r="N273" s="27">
        <v>1.0</v>
      </c>
      <c r="O273" s="30"/>
      <c r="P273" s="31">
        <v>1246.0</v>
      </c>
      <c r="Q273" s="32">
        <v>38.0</v>
      </c>
      <c r="R273" s="33">
        <v>45637.0</v>
      </c>
      <c r="S273" s="33">
        <v>43907.0</v>
      </c>
      <c r="T273" s="34"/>
      <c r="U273" s="35"/>
      <c r="V273" s="1"/>
    </row>
    <row r="274" ht="24.0" customHeight="1">
      <c r="A274" s="1"/>
      <c r="B274" s="25" t="str">
        <f>HYPERLINK("https://www.compass.com/listing/170-04-104th-avenue-queens-ny-11433/500859207365885817/view?agent_id=610d3f3370540700019b0833","170-04 104th Avenue")</f>
        <v>170-04 104th Avenue</v>
      </c>
      <c r="C274" s="26" t="s">
        <v>53</v>
      </c>
      <c r="D274" s="27" t="s">
        <v>23</v>
      </c>
      <c r="E274" s="28" t="str">
        <f>HYPERLINK("https://www.compass.com/building/170-04-104th-ave-queens-ny-11433/293533184392455797/","170-04 104th Ave")</f>
        <v>170-04 104th Ave</v>
      </c>
      <c r="F274" s="26" t="s">
        <v>24</v>
      </c>
      <c r="G274" s="29">
        <v>470000.0</v>
      </c>
      <c r="H274" s="29">
        <v>381.0</v>
      </c>
      <c r="I274" s="29">
        <v>192.0</v>
      </c>
      <c r="J274" s="29">
        <v>2304.0</v>
      </c>
      <c r="K274" s="26" t="s">
        <v>25</v>
      </c>
      <c r="L274" s="27">
        <v>7.0</v>
      </c>
      <c r="M274" s="27">
        <v>3.0</v>
      </c>
      <c r="N274" s="27">
        <v>1.0</v>
      </c>
      <c r="O274" s="30"/>
      <c r="P274" s="31">
        <v>1234.0</v>
      </c>
      <c r="Q274" s="32">
        <v>649.0</v>
      </c>
      <c r="R274" s="33">
        <v>45597.0</v>
      </c>
      <c r="S274" s="33">
        <v>42509.0</v>
      </c>
      <c r="T274" s="34"/>
      <c r="U274" s="35"/>
      <c r="V274" s="1"/>
    </row>
    <row r="275" ht="24.0" customHeight="1">
      <c r="A275" s="1"/>
      <c r="B275" s="25" t="str">
        <f>HYPERLINK("https://www.compass.com/listing/164-38-108th-drive-queens-ny-11433/1730719429852371857/view?agent_id=610d3f3370540700019b0833","164-38 108th Drive")</f>
        <v>164-38 108th Drive</v>
      </c>
      <c r="C275" s="26" t="s">
        <v>53</v>
      </c>
      <c r="D275" s="27" t="s">
        <v>23</v>
      </c>
      <c r="E275" s="28" t="str">
        <f>HYPERLINK("https://www.compass.com/building/164-38-108th-dr-queens-ny-11433/293531550358714405/","164-38 108th Dr")</f>
        <v>164-38 108th Dr</v>
      </c>
      <c r="F275" s="26" t="s">
        <v>24</v>
      </c>
      <c r="G275" s="29">
        <v>349999.0</v>
      </c>
      <c r="H275" s="29">
        <v>345.0</v>
      </c>
      <c r="I275" s="29">
        <v>164.0</v>
      </c>
      <c r="J275" s="29">
        <v>1968.0</v>
      </c>
      <c r="K275" s="26" t="s">
        <v>25</v>
      </c>
      <c r="L275" s="27">
        <v>6.0</v>
      </c>
      <c r="M275" s="27">
        <v>3.0</v>
      </c>
      <c r="N275" s="27">
        <v>1.0</v>
      </c>
      <c r="O275" s="30"/>
      <c r="P275" s="31">
        <v>1014.0</v>
      </c>
      <c r="Q275" s="32">
        <v>90.0</v>
      </c>
      <c r="R275" s="33">
        <v>45616.0</v>
      </c>
      <c r="S275" s="33">
        <v>42184.0</v>
      </c>
      <c r="T275" s="34"/>
      <c r="U275" s="35"/>
      <c r="V275" s="1"/>
    </row>
    <row r="276" ht="24.0" customHeight="1">
      <c r="A276" s="1"/>
      <c r="B276" s="25" t="str">
        <f>HYPERLINK("https://www.compass.com/listing/111-24-157th-street-queens-ny-11433/1764973631936101433/view?agent_id=610d3f3370540700019b0833","111-24 157th Street")</f>
        <v>111-24 157th Street</v>
      </c>
      <c r="C276" s="26" t="s">
        <v>53</v>
      </c>
      <c r="D276" s="27" t="s">
        <v>23</v>
      </c>
      <c r="E276" s="28" t="str">
        <f>HYPERLINK("https://www.compass.com/building/111-24-157th-st-queens-ny-11433/293526810736590357/","111-24 157th St")</f>
        <v>111-24 157th St</v>
      </c>
      <c r="F276" s="26" t="s">
        <v>24</v>
      </c>
      <c r="G276" s="29">
        <v>358000.0</v>
      </c>
      <c r="H276" s="29">
        <v>222.0</v>
      </c>
      <c r="I276" s="29">
        <v>238.0</v>
      </c>
      <c r="J276" s="29">
        <v>2859.0</v>
      </c>
      <c r="K276" s="26" t="s">
        <v>25</v>
      </c>
      <c r="L276" s="27">
        <v>8.0</v>
      </c>
      <c r="M276" s="27">
        <v>3.0</v>
      </c>
      <c r="N276" s="27">
        <v>1.0</v>
      </c>
      <c r="O276" s="27">
        <v>0.0</v>
      </c>
      <c r="P276" s="31">
        <v>1616.0</v>
      </c>
      <c r="Q276" s="32">
        <v>365.0</v>
      </c>
      <c r="R276" s="33">
        <v>45616.0</v>
      </c>
      <c r="S276" s="33">
        <v>42090.0</v>
      </c>
      <c r="T276" s="34"/>
      <c r="U276" s="35"/>
      <c r="V276" s="1"/>
    </row>
    <row r="277" ht="24.0" customHeight="1">
      <c r="A277" s="1"/>
      <c r="B277" s="25" t="str">
        <f>HYPERLINK("https://www.compass.com/listing/170-01-104th-avenue-unit-twnh-queens-ny-11433/371454827590216833/view?agent_id=610d3f3370540700019b0833","170-01 104th Avenue, Unit TWNH")</f>
        <v>170-01 104th Avenue, Unit TWNH</v>
      </c>
      <c r="C277" s="26" t="s">
        <v>54</v>
      </c>
      <c r="D277" s="27" t="s">
        <v>23</v>
      </c>
      <c r="E277" s="28" t="str">
        <f>HYPERLINK("https://www.compass.com/building/170-01-104th-ave-queens-ny-11433/293532941970103941/","170-01 104th Ave")</f>
        <v>170-01 104th Ave</v>
      </c>
      <c r="F277" s="26" t="s">
        <v>24</v>
      </c>
      <c r="G277" s="29">
        <v>430000.0</v>
      </c>
      <c r="H277" s="29">
        <v>348.0</v>
      </c>
      <c r="I277" s="29">
        <v>234.0</v>
      </c>
      <c r="J277" s="29">
        <v>2808.0</v>
      </c>
      <c r="K277" s="26" t="s">
        <v>39</v>
      </c>
      <c r="L277" s="27">
        <v>9.0</v>
      </c>
      <c r="M277" s="27">
        <v>3.0</v>
      </c>
      <c r="N277" s="30"/>
      <c r="O277" s="30"/>
      <c r="P277" s="31">
        <v>1234.0</v>
      </c>
      <c r="Q277" s="32">
        <v>9.0</v>
      </c>
      <c r="R277" s="33">
        <v>43774.0</v>
      </c>
      <c r="S277" s="33">
        <v>43764.0</v>
      </c>
      <c r="T277" s="34"/>
      <c r="U277" s="35"/>
      <c r="V277" s="1"/>
    </row>
    <row r="278" ht="24.0" customHeight="1">
      <c r="A278" s="1"/>
      <c r="B278" s="25" t="str">
        <f>HYPERLINK("https://www.compass.com/listing/110-07-172nd-street-queens-ny-11433/254091560625400705/view?agent_id=610d3f3370540700019b0833","110-07 172nd Street")</f>
        <v>110-07 172nd Street</v>
      </c>
      <c r="C278" s="26" t="s">
        <v>54</v>
      </c>
      <c r="D278" s="27" t="s">
        <v>23</v>
      </c>
      <c r="E278" s="28" t="str">
        <f>HYPERLINK("https://www.compass.com/building/110-07-172nd-st-queens-ny-11433/293530905341855413/","110-07 172nd St")</f>
        <v>110-07 172nd St</v>
      </c>
      <c r="F278" s="26" t="s">
        <v>24</v>
      </c>
      <c r="G278" s="29">
        <v>449000.0</v>
      </c>
      <c r="H278" s="29">
        <v>249.0</v>
      </c>
      <c r="I278" s="29">
        <v>385.0</v>
      </c>
      <c r="J278" s="29">
        <v>4620.0</v>
      </c>
      <c r="K278" s="26" t="s">
        <v>25</v>
      </c>
      <c r="L278" s="30"/>
      <c r="M278" s="27">
        <v>3.0</v>
      </c>
      <c r="N278" s="30"/>
      <c r="O278" s="30"/>
      <c r="P278" s="31">
        <v>1800.0</v>
      </c>
      <c r="Q278" s="48"/>
      <c r="R278" s="33">
        <v>43644.0</v>
      </c>
      <c r="S278" s="35"/>
      <c r="T278" s="34"/>
      <c r="U278" s="35"/>
      <c r="V278" s="1"/>
    </row>
    <row r="279" ht="24.0" customHeight="1">
      <c r="A279" s="1"/>
      <c r="B279" s="25" t="str">
        <f>HYPERLINK("https://www.compass.com/listing/104-81-165th-street-queens-ny-11433/1762030883695673497/view?agent_id=610d3f3370540700019b0833","104-81 165th Street")</f>
        <v>104-81 165th Street</v>
      </c>
      <c r="C279" s="26" t="s">
        <v>53</v>
      </c>
      <c r="D279" s="27" t="s">
        <v>23</v>
      </c>
      <c r="E279" s="28" t="str">
        <f>HYPERLINK("https://www.compass.com/building/104-81-165th-st-queens-ny-11433/293417388458655221/","104-81 165th St")</f>
        <v>104-81 165th St</v>
      </c>
      <c r="F279" s="26" t="s">
        <v>24</v>
      </c>
      <c r="G279" s="29">
        <v>499000.0</v>
      </c>
      <c r="H279" s="29">
        <v>770.0</v>
      </c>
      <c r="I279" s="29">
        <v>180.0</v>
      </c>
      <c r="J279" s="29">
        <v>2159.0</v>
      </c>
      <c r="K279" s="26" t="s">
        <v>25</v>
      </c>
      <c r="L279" s="27">
        <v>5.0</v>
      </c>
      <c r="M279" s="27">
        <v>3.0</v>
      </c>
      <c r="N279" s="27">
        <v>1.0</v>
      </c>
      <c r="O279" s="30"/>
      <c r="P279" s="27">
        <v>648.0</v>
      </c>
      <c r="Q279" s="32">
        <v>84.0</v>
      </c>
      <c r="R279" s="33">
        <v>45773.0</v>
      </c>
      <c r="S279" s="33">
        <v>45683.0</v>
      </c>
      <c r="T279" s="34"/>
      <c r="U279" s="35"/>
      <c r="V279" s="1"/>
    </row>
    <row r="280" ht="24.0" customHeight="1">
      <c r="A280" s="1"/>
      <c r="B280" s="25" t="str">
        <f>HYPERLINK("https://www.compass.com/listing/167-15-brinkerhoff-avenue-queens-ny-11433/1730613344462328313/view?agent_id=610d3f3370540700019b0833","167-15 Brinkerhoff Avenue")</f>
        <v>167-15 Brinkerhoff Avenue</v>
      </c>
      <c r="C280" s="26" t="s">
        <v>53</v>
      </c>
      <c r="D280" s="27" t="s">
        <v>23</v>
      </c>
      <c r="E280" s="28" t="str">
        <f>HYPERLINK("https://www.compass.com/building/167-15-brinkerhoff-ave-queens-ny-11433/293535320895506821/","167-15 Brinkerhoff Ave")</f>
        <v>167-15 Brinkerhoff Ave</v>
      </c>
      <c r="F280" s="26" t="s">
        <v>24</v>
      </c>
      <c r="G280" s="29">
        <v>149000.0</v>
      </c>
      <c r="H280" s="34"/>
      <c r="I280" s="29">
        <v>229.0</v>
      </c>
      <c r="J280" s="29">
        <v>2751.0</v>
      </c>
      <c r="K280" s="26" t="s">
        <v>32</v>
      </c>
      <c r="L280" s="27">
        <v>5.0</v>
      </c>
      <c r="M280" s="27">
        <v>3.0</v>
      </c>
      <c r="N280" s="27">
        <v>1.0</v>
      </c>
      <c r="O280" s="27">
        <v>0.0</v>
      </c>
      <c r="P280" s="30"/>
      <c r="Q280" s="32">
        <v>366.0</v>
      </c>
      <c r="R280" s="33">
        <v>45616.0</v>
      </c>
      <c r="S280" s="33">
        <v>42208.0</v>
      </c>
      <c r="T280" s="34"/>
      <c r="U280" s="35"/>
      <c r="V280" s="1"/>
    </row>
    <row r="281" ht="24.0" customHeight="1">
      <c r="A281" s="1"/>
      <c r="B281" s="25" t="str">
        <f>HYPERLINK("https://www.compass.com/listing/111-57-166th-street-queens-ny-11433/1709518136248904265/view?agent_id=610d3f3370540700019b0833","111-57 166th Street")</f>
        <v>111-57 166th Street</v>
      </c>
      <c r="C281" s="26" t="s">
        <v>53</v>
      </c>
      <c r="D281" s="27" t="s">
        <v>23</v>
      </c>
      <c r="E281" s="28" t="str">
        <f t="shared" ref="E281:E282" si="13">HYPERLINK("https://www.compass.com/building/111-57-166th-st-queens-ny-11433/293526442921269493/","111-57 166th St")</f>
        <v>111-57 166th St</v>
      </c>
      <c r="F281" s="26" t="s">
        <v>24</v>
      </c>
      <c r="G281" s="29">
        <v>399000.0</v>
      </c>
      <c r="H281" s="29">
        <v>525.0</v>
      </c>
      <c r="I281" s="29">
        <v>372.0</v>
      </c>
      <c r="J281" s="29">
        <v>4460.0</v>
      </c>
      <c r="K281" s="26" t="s">
        <v>25</v>
      </c>
      <c r="L281" s="27">
        <v>6.0</v>
      </c>
      <c r="M281" s="27">
        <v>3.0</v>
      </c>
      <c r="N281" s="27">
        <v>1.0</v>
      </c>
      <c r="O281" s="30"/>
      <c r="P281" s="27">
        <v>760.0</v>
      </c>
      <c r="Q281" s="32">
        <v>358.0</v>
      </c>
      <c r="R281" s="33">
        <v>45597.0</v>
      </c>
      <c r="S281" s="33">
        <v>44904.0</v>
      </c>
      <c r="T281" s="34"/>
      <c r="U281" s="35"/>
      <c r="V281" s="1"/>
    </row>
    <row r="282" ht="24.0" customHeight="1">
      <c r="A282" s="1"/>
      <c r="B282" s="25" t="str">
        <f>HYPERLINK("https://www.compass.com/listing/111-57-166th-street-queens-ny-11433/987029748900912081/view?agent_id=610d3f3370540700019b0833","111-57 166th Street")</f>
        <v>111-57 166th Street</v>
      </c>
      <c r="C282" s="26" t="s">
        <v>53</v>
      </c>
      <c r="D282" s="27" t="s">
        <v>23</v>
      </c>
      <c r="E282" s="28" t="str">
        <f t="shared" si="13"/>
        <v>111-57 166th St</v>
      </c>
      <c r="F282" s="26" t="s">
        <v>24</v>
      </c>
      <c r="G282" s="29">
        <v>399000.0</v>
      </c>
      <c r="H282" s="29">
        <v>525.0</v>
      </c>
      <c r="I282" s="29">
        <v>349.0</v>
      </c>
      <c r="J282" s="29">
        <v>4184.0</v>
      </c>
      <c r="K282" s="26" t="s">
        <v>25</v>
      </c>
      <c r="L282" s="27">
        <v>5.0</v>
      </c>
      <c r="M282" s="27">
        <v>3.0</v>
      </c>
      <c r="N282" s="27">
        <v>1.0</v>
      </c>
      <c r="O282" s="30"/>
      <c r="P282" s="27">
        <v>760.0</v>
      </c>
      <c r="Q282" s="32">
        <v>77.0</v>
      </c>
      <c r="R282" s="33">
        <v>45597.0</v>
      </c>
      <c r="S282" s="33">
        <v>44613.0</v>
      </c>
      <c r="T282" s="34"/>
      <c r="U282" s="35"/>
      <c r="V282" s="1"/>
    </row>
    <row r="283" ht="24.0" customHeight="1">
      <c r="A283" s="1"/>
      <c r="B283" s="25" t="str">
        <f>HYPERLINK("https://www.compass.com/listing/164-38-108th-drive-queens-ny-11433/500846526233504337/view?agent_id=610d3f3370540700019b0833","164-38 108th Drive")</f>
        <v>164-38 108th Drive</v>
      </c>
      <c r="C283" s="26" t="s">
        <v>53</v>
      </c>
      <c r="D283" s="27" t="s">
        <v>23</v>
      </c>
      <c r="E283" s="28" t="str">
        <f>HYPERLINK("https://www.compass.com/building/164-38-108th-dr-queens-ny-11433/293531550358714405/","164-38 108th Dr")</f>
        <v>164-38 108th Dr</v>
      </c>
      <c r="F283" s="26" t="s">
        <v>24</v>
      </c>
      <c r="G283" s="29">
        <v>430000.0</v>
      </c>
      <c r="H283" s="29">
        <v>424.0</v>
      </c>
      <c r="I283" s="29">
        <v>164.0</v>
      </c>
      <c r="J283" s="29">
        <v>1968.0</v>
      </c>
      <c r="K283" s="26" t="s">
        <v>25</v>
      </c>
      <c r="L283" s="27">
        <v>7.0</v>
      </c>
      <c r="M283" s="27">
        <v>3.0</v>
      </c>
      <c r="N283" s="27">
        <v>1.0</v>
      </c>
      <c r="O283" s="30"/>
      <c r="P283" s="31">
        <v>1014.0</v>
      </c>
      <c r="Q283" s="32">
        <v>366.0</v>
      </c>
      <c r="R283" s="33">
        <v>45597.0</v>
      </c>
      <c r="S283" s="33">
        <v>42303.0</v>
      </c>
      <c r="T283" s="34"/>
      <c r="U283" s="35"/>
      <c r="V283" s="1"/>
    </row>
    <row r="284" ht="24.0" customHeight="1">
      <c r="A284" s="1"/>
      <c r="B284" s="25" t="str">
        <f>HYPERLINK("https://www.compass.com/listing/150-23-arlington-terrace-queens-ny-11433/1730619022786785713/view?agent_id=610d3f3370540700019b0833","150-23 Arlington Terrace")</f>
        <v>150-23 Arlington Terrace</v>
      </c>
      <c r="C284" s="26" t="s">
        <v>53</v>
      </c>
      <c r="D284" s="27" t="s">
        <v>23</v>
      </c>
      <c r="E284" s="28" t="str">
        <f t="shared" ref="E284:E285" si="14">HYPERLINK("https://www.compass.com/building/150-23-arlington-ter-queens-ny-11433/293417976030402101/","150-23 Arlington Ter")</f>
        <v>150-23 Arlington Ter</v>
      </c>
      <c r="F284" s="26" t="s">
        <v>24</v>
      </c>
      <c r="G284" s="29">
        <v>274990.0</v>
      </c>
      <c r="H284" s="34"/>
      <c r="I284" s="29">
        <v>0.0</v>
      </c>
      <c r="J284" s="29">
        <v>0.0</v>
      </c>
      <c r="K284" s="26" t="s">
        <v>56</v>
      </c>
      <c r="L284" s="27">
        <v>6.0</v>
      </c>
      <c r="M284" s="27">
        <v>3.0</v>
      </c>
      <c r="N284" s="27">
        <v>1.0</v>
      </c>
      <c r="O284" s="30"/>
      <c r="P284" s="30"/>
      <c r="Q284" s="32">
        <v>156.0</v>
      </c>
      <c r="R284" s="33">
        <v>45597.0</v>
      </c>
      <c r="S284" s="33">
        <v>41298.0</v>
      </c>
      <c r="T284" s="34"/>
      <c r="U284" s="35"/>
      <c r="V284" s="1"/>
    </row>
    <row r="285" ht="24.0" customHeight="1">
      <c r="A285" s="1"/>
      <c r="B285" s="25" t="str">
        <f>HYPERLINK("https://www.compass.com/listing/150-23-arlington-terrace-queens-ny-11433/1730795320020783337/view?agent_id=610d3f3370540700019b0833","150-23 Arlington Terrace")</f>
        <v>150-23 Arlington Terrace</v>
      </c>
      <c r="C285" s="26" t="s">
        <v>53</v>
      </c>
      <c r="D285" s="27" t="s">
        <v>23</v>
      </c>
      <c r="E285" s="28" t="str">
        <f t="shared" si="14"/>
        <v>150-23 Arlington Ter</v>
      </c>
      <c r="F285" s="26" t="s">
        <v>24</v>
      </c>
      <c r="G285" s="29">
        <v>245000.0</v>
      </c>
      <c r="H285" s="34"/>
      <c r="I285" s="29">
        <v>190.0</v>
      </c>
      <c r="J285" s="29">
        <v>2278.0</v>
      </c>
      <c r="K285" s="26" t="s">
        <v>56</v>
      </c>
      <c r="L285" s="27">
        <v>6.0</v>
      </c>
      <c r="M285" s="27">
        <v>3.0</v>
      </c>
      <c r="N285" s="27">
        <v>1.0</v>
      </c>
      <c r="O285" s="30"/>
      <c r="P285" s="30"/>
      <c r="Q285" s="32">
        <v>281.0</v>
      </c>
      <c r="R285" s="33">
        <v>45597.0</v>
      </c>
      <c r="S285" s="33">
        <v>41052.0</v>
      </c>
      <c r="T285" s="34"/>
      <c r="U285" s="35"/>
      <c r="V285" s="1"/>
    </row>
    <row r="286" ht="24.0" customHeight="1">
      <c r="A286" s="1"/>
      <c r="B286" s="25" t="str">
        <f>HYPERLINK("https://www.compass.com/listing/105-30-170th-street-queens-ny-11433/353413288647316929/view?agent_id=610d3f3370540700019b0833","105-30 170th Street")</f>
        <v>105-30 170th Street</v>
      </c>
      <c r="C286" s="26" t="s">
        <v>53</v>
      </c>
      <c r="D286" s="27" t="s">
        <v>23</v>
      </c>
      <c r="E286" s="28" t="str">
        <f>HYPERLINK("https://www.compass.com/building/105-30-170th-st-queens-ny-11433/293530287369891525/","105-30 170th St")</f>
        <v>105-30 170th St</v>
      </c>
      <c r="F286" s="26" t="s">
        <v>24</v>
      </c>
      <c r="G286" s="29">
        <v>425000.0</v>
      </c>
      <c r="H286" s="29">
        <v>369.0</v>
      </c>
      <c r="I286" s="29">
        <v>215.0</v>
      </c>
      <c r="J286" s="29">
        <v>2574.0</v>
      </c>
      <c r="K286" s="26" t="s">
        <v>25</v>
      </c>
      <c r="L286" s="27">
        <v>5.0</v>
      </c>
      <c r="M286" s="27">
        <v>3.0</v>
      </c>
      <c r="N286" s="27">
        <v>1.0</v>
      </c>
      <c r="O286" s="30"/>
      <c r="P286" s="31">
        <v>1152.0</v>
      </c>
      <c r="Q286" s="32">
        <v>365.0</v>
      </c>
      <c r="R286" s="33">
        <v>45538.0</v>
      </c>
      <c r="S286" s="33">
        <v>42461.0</v>
      </c>
      <c r="T286" s="34"/>
      <c r="U286" s="35"/>
      <c r="V286" s="1"/>
    </row>
    <row r="287" ht="24.0" customHeight="1">
      <c r="A287" s="1"/>
      <c r="B287" s="25" t="str">
        <f>HYPERLINK("https://www.compass.com/listing/111-18-156th-street-queens-ny-11433/500856247294182169/view?agent_id=610d3f3370540700019b0833","111-18 156th Street")</f>
        <v>111-18 156th Street</v>
      </c>
      <c r="C287" s="26" t="s">
        <v>53</v>
      </c>
      <c r="D287" s="27" t="s">
        <v>23</v>
      </c>
      <c r="E287" s="28" t="str">
        <f>HYPERLINK("https://www.compass.com/building/111-18-156th-st-queens-ny-11433/293531929431545477/","111-18 156th St")</f>
        <v>111-18 156th St</v>
      </c>
      <c r="F287" s="26" t="s">
        <v>24</v>
      </c>
      <c r="G287" s="29">
        <v>429000.0</v>
      </c>
      <c r="H287" s="29">
        <v>314.0</v>
      </c>
      <c r="I287" s="29">
        <v>204.0</v>
      </c>
      <c r="J287" s="29">
        <v>2445.0</v>
      </c>
      <c r="K287" s="26" t="s">
        <v>25</v>
      </c>
      <c r="L287" s="27">
        <v>7.0</v>
      </c>
      <c r="M287" s="27">
        <v>3.0</v>
      </c>
      <c r="N287" s="27">
        <v>1.0</v>
      </c>
      <c r="O287" s="30"/>
      <c r="P287" s="31">
        <v>1366.0</v>
      </c>
      <c r="Q287" s="32">
        <v>242.0</v>
      </c>
      <c r="R287" s="33">
        <v>45597.0</v>
      </c>
      <c r="S287" s="33">
        <v>42644.0</v>
      </c>
      <c r="T287" s="34"/>
      <c r="U287" s="35"/>
      <c r="V287" s="1"/>
    </row>
    <row r="288" ht="24.0" customHeight="1">
      <c r="A288" s="1"/>
      <c r="B288" s="25" t="str">
        <f>HYPERLINK("https://www.compass.com/listing/153-23-arlington-terrace-queens-ny-11433/500849018948281897/view?agent_id=610d3f3370540700019b0833","153-23 Arlington Terrace")</f>
        <v>153-23 Arlington Terrace</v>
      </c>
      <c r="C288" s="26" t="s">
        <v>53</v>
      </c>
      <c r="D288" s="27" t="s">
        <v>23</v>
      </c>
      <c r="E288" s="28" t="str">
        <f>HYPERLINK("https://www.compass.com/building/153-23-arlington-ter-queens-ny-11433/293534164190272661/","153-23 Arlington Ter")</f>
        <v>153-23 Arlington Ter</v>
      </c>
      <c r="F288" s="26" t="s">
        <v>24</v>
      </c>
      <c r="G288" s="29">
        <v>330000.0</v>
      </c>
      <c r="H288" s="29">
        <v>225.0</v>
      </c>
      <c r="I288" s="29">
        <v>258.0</v>
      </c>
      <c r="J288" s="29">
        <v>3094.0</v>
      </c>
      <c r="K288" s="26" t="s">
        <v>25</v>
      </c>
      <c r="L288" s="27">
        <v>6.0</v>
      </c>
      <c r="M288" s="27">
        <v>3.0</v>
      </c>
      <c r="N288" s="27">
        <v>1.0</v>
      </c>
      <c r="O288" s="30"/>
      <c r="P288" s="31">
        <v>1468.0</v>
      </c>
      <c r="Q288" s="32">
        <v>27.0</v>
      </c>
      <c r="R288" s="33">
        <v>45634.0</v>
      </c>
      <c r="S288" s="33">
        <v>42382.0</v>
      </c>
      <c r="T288" s="34"/>
      <c r="U288" s="35"/>
      <c r="V288" s="1"/>
    </row>
    <row r="289" ht="24.0" customHeight="1">
      <c r="A289" s="1"/>
      <c r="B289" s="25" t="str">
        <f>HYPERLINK("https://www.compass.com/listing/110-34-166th-street-queens-ny-11433/1455235816743170505/view?agent_id=610d3f3370540700019b0833","110-34 166th Street")</f>
        <v>110-34 166th Street</v>
      </c>
      <c r="C289" s="26" t="s">
        <v>53</v>
      </c>
      <c r="D289" s="27" t="s">
        <v>23</v>
      </c>
      <c r="E289" s="28" t="str">
        <f>HYPERLINK("https://www.compass.com/building/110-34-166th-st-queens-ny-11433/293418521340204069/","110-34 166th St")</f>
        <v>110-34 166th St</v>
      </c>
      <c r="F289" s="26" t="s">
        <v>24</v>
      </c>
      <c r="G289" s="29">
        <v>699000.0</v>
      </c>
      <c r="H289" s="29">
        <v>407.0</v>
      </c>
      <c r="I289" s="29">
        <v>345.0</v>
      </c>
      <c r="J289" s="29">
        <v>4145.0</v>
      </c>
      <c r="K289" s="26" t="s">
        <v>25</v>
      </c>
      <c r="L289" s="27">
        <v>6.0</v>
      </c>
      <c r="M289" s="27">
        <v>3.0</v>
      </c>
      <c r="N289" s="27">
        <v>1.0</v>
      </c>
      <c r="O289" s="30"/>
      <c r="P289" s="31">
        <v>1719.0</v>
      </c>
      <c r="Q289" s="32">
        <v>92.0</v>
      </c>
      <c r="R289" s="33">
        <v>45627.0</v>
      </c>
      <c r="S289" s="33">
        <v>45259.0</v>
      </c>
      <c r="T289" s="34"/>
      <c r="U289" s="35"/>
      <c r="V289" s="1"/>
    </row>
    <row r="290" ht="24.0" customHeight="1">
      <c r="A290" s="1"/>
      <c r="B290" s="25" t="str">
        <f>HYPERLINK("https://www.compass.com/listing/170-08-104th-avenue-queens-ny-11433/1422376465151444169/view?agent_id=610d3f3370540700019b0833","170-08 104th Avenue")</f>
        <v>170-08 104th Avenue</v>
      </c>
      <c r="C290" s="26" t="s">
        <v>53</v>
      </c>
      <c r="D290" s="27" t="s">
        <v>23</v>
      </c>
      <c r="E290" s="28" t="str">
        <f>HYPERLINK("https://www.compass.com/building/170-08-104th-ave-queens-ny-11433/293418191240089013/","170-08 104th Ave")</f>
        <v>170-08 104th Ave</v>
      </c>
      <c r="F290" s="26" t="s">
        <v>24</v>
      </c>
      <c r="G290" s="29">
        <v>449000.0</v>
      </c>
      <c r="H290" s="29">
        <v>364.0</v>
      </c>
      <c r="I290" s="29">
        <v>324.0</v>
      </c>
      <c r="J290" s="29">
        <v>3892.0</v>
      </c>
      <c r="K290" s="26" t="s">
        <v>25</v>
      </c>
      <c r="L290" s="27">
        <v>7.0</v>
      </c>
      <c r="M290" s="27">
        <v>3.0</v>
      </c>
      <c r="N290" s="27">
        <v>1.0</v>
      </c>
      <c r="O290" s="30"/>
      <c r="P290" s="31">
        <v>1234.0</v>
      </c>
      <c r="Q290" s="32">
        <v>77.0</v>
      </c>
      <c r="R290" s="33">
        <v>45597.0</v>
      </c>
      <c r="S290" s="33">
        <v>45214.0</v>
      </c>
      <c r="T290" s="34"/>
      <c r="U290" s="35"/>
      <c r="V290" s="1"/>
    </row>
    <row r="291" ht="24.0" customHeight="1">
      <c r="A291" s="1"/>
      <c r="B291" s="25" t="str">
        <f>HYPERLINK("https://www.compass.com/listing/103-16-168th-place-queens-ny-11433/1718178668428504337/view?agent_id=610d3f3370540700019b0833","103-16 168th Place")</f>
        <v>103-16 168th Place</v>
      </c>
      <c r="C291" s="26" t="s">
        <v>53</v>
      </c>
      <c r="D291" s="27" t="s">
        <v>23</v>
      </c>
      <c r="E291" s="28" t="str">
        <f>HYPERLINK("https://www.compass.com/building/103-16-168th-pl-queens-ny-11433/293531160506637829/","103-16 168th Pl")</f>
        <v>103-16 168th Pl</v>
      </c>
      <c r="F291" s="26" t="s">
        <v>24</v>
      </c>
      <c r="G291" s="29">
        <v>448000.0</v>
      </c>
      <c r="H291" s="29">
        <v>467.0</v>
      </c>
      <c r="I291" s="29">
        <v>208.0</v>
      </c>
      <c r="J291" s="29">
        <v>2496.0</v>
      </c>
      <c r="K291" s="26" t="s">
        <v>25</v>
      </c>
      <c r="L291" s="27">
        <v>6.0</v>
      </c>
      <c r="M291" s="27">
        <v>3.0</v>
      </c>
      <c r="N291" s="27">
        <v>1.0</v>
      </c>
      <c r="O291" s="30"/>
      <c r="P291" s="27">
        <v>960.0</v>
      </c>
      <c r="Q291" s="32">
        <v>121.0</v>
      </c>
      <c r="R291" s="33">
        <v>45597.0</v>
      </c>
      <c r="S291" s="33">
        <v>43637.0</v>
      </c>
      <c r="T291" s="34"/>
      <c r="U291" s="35"/>
      <c r="V291" s="1"/>
    </row>
    <row r="292" ht="24.0" customHeight="1">
      <c r="A292" s="1"/>
      <c r="B292" s="25" t="str">
        <f>HYPERLINK("https://www.compass.com/listing/173-17-sayres-avenue-queens-ny-11433/197012947803868161/view?agent_id=610d3f3370540700019b0833","173-17 Sayres Avenue")</f>
        <v>173-17 Sayres Avenue</v>
      </c>
      <c r="C292" s="26" t="s">
        <v>53</v>
      </c>
      <c r="D292" s="27" t="s">
        <v>23</v>
      </c>
      <c r="E292" s="28" t="str">
        <f t="shared" ref="E292:E293" si="15">HYPERLINK("https://www.compass.com/building/173-17-sayres-ave-queens-ny-11433/293530996249238501/","173-17 Sayres Ave")</f>
        <v>173-17 Sayres Ave</v>
      </c>
      <c r="F292" s="26" t="s">
        <v>24</v>
      </c>
      <c r="G292" s="29">
        <v>489000.0</v>
      </c>
      <c r="H292" s="29">
        <v>326.0</v>
      </c>
      <c r="I292" s="29">
        <v>399.0</v>
      </c>
      <c r="J292" s="29">
        <v>4786.0</v>
      </c>
      <c r="K292" s="26" t="s">
        <v>25</v>
      </c>
      <c r="L292" s="27">
        <v>6.0</v>
      </c>
      <c r="M292" s="27">
        <v>3.0</v>
      </c>
      <c r="N292" s="27">
        <v>1.0</v>
      </c>
      <c r="O292" s="30"/>
      <c r="P292" s="31">
        <v>1500.0</v>
      </c>
      <c r="Q292" s="32">
        <v>180.0</v>
      </c>
      <c r="R292" s="33">
        <v>45636.0</v>
      </c>
      <c r="S292" s="33">
        <v>43356.0</v>
      </c>
      <c r="T292" s="34"/>
      <c r="U292" s="35"/>
      <c r="V292" s="1"/>
    </row>
    <row r="293" ht="24.0" customHeight="1">
      <c r="A293" s="1"/>
      <c r="B293" s="25" t="str">
        <f>HYPERLINK("https://www.compass.com/listing/173-17-sayres-avenue-queens-ny-11433/207938358675064257/view?agent_id=610d3f3370540700019b0833","173-17 Sayres Avenue")</f>
        <v>173-17 Sayres Avenue</v>
      </c>
      <c r="C293" s="26" t="s">
        <v>53</v>
      </c>
      <c r="D293" s="27" t="s">
        <v>23</v>
      </c>
      <c r="E293" s="28" t="str">
        <f t="shared" si="15"/>
        <v>173-17 Sayres Ave</v>
      </c>
      <c r="F293" s="26" t="s">
        <v>24</v>
      </c>
      <c r="G293" s="29">
        <v>489000.0</v>
      </c>
      <c r="H293" s="29">
        <v>326.0</v>
      </c>
      <c r="I293" s="29">
        <v>399.0</v>
      </c>
      <c r="J293" s="29">
        <v>4786.0</v>
      </c>
      <c r="K293" s="26" t="s">
        <v>25</v>
      </c>
      <c r="L293" s="27">
        <v>6.0</v>
      </c>
      <c r="M293" s="27">
        <v>3.0</v>
      </c>
      <c r="N293" s="27">
        <v>1.0</v>
      </c>
      <c r="O293" s="30"/>
      <c r="P293" s="31">
        <v>1500.0</v>
      </c>
      <c r="Q293" s="32">
        <v>182.0</v>
      </c>
      <c r="R293" s="33">
        <v>45637.0</v>
      </c>
      <c r="S293" s="33">
        <v>43538.0</v>
      </c>
      <c r="T293" s="34"/>
      <c r="U293" s="35"/>
      <c r="V293" s="1"/>
    </row>
    <row r="294" ht="24.0" customHeight="1">
      <c r="A294" s="1"/>
      <c r="B294" s="25" t="str">
        <f>HYPERLINK("https://www.compass.com/listing/170-04-104th-avenue-unit-twnh-queens-ny-11433/441010882559489129/view?agent_id=610d3f3370540700019b0833","170-04 104th Avenue, Unit TWNH")</f>
        <v>170-04 104th Avenue, Unit TWNH</v>
      </c>
      <c r="C294" s="26" t="s">
        <v>54</v>
      </c>
      <c r="D294" s="27" t="s">
        <v>23</v>
      </c>
      <c r="E294" s="28" t="str">
        <f>HYPERLINK("https://www.compass.com/building/170-04-104th-ave-queens-ny-11433/293533184392455797/","170-04 104th Ave")</f>
        <v>170-04 104th Ave</v>
      </c>
      <c r="F294" s="26" t="s">
        <v>24</v>
      </c>
      <c r="G294" s="29">
        <v>539999.0</v>
      </c>
      <c r="H294" s="29">
        <v>438.0</v>
      </c>
      <c r="I294" s="29">
        <v>234.0</v>
      </c>
      <c r="J294" s="29">
        <v>2808.0</v>
      </c>
      <c r="K294" s="26" t="s">
        <v>39</v>
      </c>
      <c r="L294" s="27">
        <v>9.0</v>
      </c>
      <c r="M294" s="27">
        <v>3.0</v>
      </c>
      <c r="N294" s="30"/>
      <c r="O294" s="30"/>
      <c r="P294" s="31">
        <v>1234.0</v>
      </c>
      <c r="Q294" s="32">
        <v>5.0</v>
      </c>
      <c r="R294" s="33">
        <v>44247.0</v>
      </c>
      <c r="S294" s="33">
        <v>43860.0</v>
      </c>
      <c r="T294" s="34"/>
      <c r="U294" s="35"/>
      <c r="V294" s="1"/>
    </row>
    <row r="295" ht="24.0" customHeight="1">
      <c r="A295" s="1"/>
      <c r="B295" s="25" t="str">
        <f>HYPERLINK("https://www.compass.com/listing/107-29-172nd-street-queens-ny-11433/187599514629125505/view?agent_id=610d3f3370540700019b0833","107-29 172nd Street")</f>
        <v>107-29 172nd Street</v>
      </c>
      <c r="C295" s="26" t="s">
        <v>53</v>
      </c>
      <c r="D295" s="27" t="s">
        <v>23</v>
      </c>
      <c r="E295" s="28" t="str">
        <f>HYPERLINK("https://www.compass.com/building/107-29-172nd-st-queens-ny-11433/293528035875977109/","107-29 172nd St")</f>
        <v>107-29 172nd St</v>
      </c>
      <c r="F295" s="26" t="s">
        <v>24</v>
      </c>
      <c r="G295" s="29">
        <v>299000.0</v>
      </c>
      <c r="H295" s="29">
        <v>202.0</v>
      </c>
      <c r="I295" s="29">
        <v>280.0</v>
      </c>
      <c r="J295" s="29">
        <v>3360.0</v>
      </c>
      <c r="K295" s="26" t="s">
        <v>25</v>
      </c>
      <c r="L295" s="27">
        <v>6.0</v>
      </c>
      <c r="M295" s="27">
        <v>3.0</v>
      </c>
      <c r="N295" s="27">
        <v>1.0</v>
      </c>
      <c r="O295" s="30"/>
      <c r="P295" s="31">
        <v>1480.0</v>
      </c>
      <c r="Q295" s="32">
        <v>13.0</v>
      </c>
      <c r="R295" s="33">
        <v>45597.0</v>
      </c>
      <c r="S295" s="33">
        <v>42789.0</v>
      </c>
      <c r="T295" s="34"/>
      <c r="U295" s="35"/>
      <c r="V295" s="1"/>
    </row>
    <row r="296" ht="24.0" customHeight="1">
      <c r="A296" s="1"/>
      <c r="B296" s="25" t="str">
        <f>HYPERLINK("https://www.compass.com/listing/110-32-158th-street-queens-ny-11433/1730745205645945369/view?agent_id=610d3f3370540700019b0833","110-32 158th Street")</f>
        <v>110-32 158th Street</v>
      </c>
      <c r="C296" s="26" t="s">
        <v>53</v>
      </c>
      <c r="D296" s="27" t="s">
        <v>23</v>
      </c>
      <c r="E296" s="28" t="str">
        <f>HYPERLINK("https://www.compass.com/building/110-32-158th-st-queens-ny-11433/293528580112053429/","110-32 158th St")</f>
        <v>110-32 158th St</v>
      </c>
      <c r="F296" s="26" t="s">
        <v>24</v>
      </c>
      <c r="G296" s="29">
        <v>450000.0</v>
      </c>
      <c r="H296" s="29">
        <v>275.0</v>
      </c>
      <c r="I296" s="29">
        <v>250.0</v>
      </c>
      <c r="J296" s="29">
        <v>2995.0</v>
      </c>
      <c r="K296" s="26" t="s">
        <v>25</v>
      </c>
      <c r="L296" s="27">
        <v>8.0</v>
      </c>
      <c r="M296" s="27">
        <v>3.0</v>
      </c>
      <c r="N296" s="27">
        <v>1.0</v>
      </c>
      <c r="O296" s="30"/>
      <c r="P296" s="31">
        <v>1636.0</v>
      </c>
      <c r="Q296" s="32">
        <v>365.0</v>
      </c>
      <c r="R296" s="33">
        <v>45597.0</v>
      </c>
      <c r="S296" s="33">
        <v>41836.0</v>
      </c>
      <c r="T296" s="34"/>
      <c r="U296" s="35"/>
      <c r="V296" s="1"/>
    </row>
    <row r="297" ht="24.0" customHeight="1">
      <c r="A297" s="1"/>
      <c r="B297" s="25" t="str">
        <f>HYPERLINK("https://www.compass.com/listing/171-18-111th-avenue-queens-ny-11433/41941216308236641/view?agent_id=610d3f3370540700019b0833","171-18 111th Avenue")</f>
        <v>171-18 111th Avenue</v>
      </c>
      <c r="C297" s="26" t="s">
        <v>54</v>
      </c>
      <c r="D297" s="27" t="s">
        <v>23</v>
      </c>
      <c r="E297" s="28" t="str">
        <f>HYPERLINK("https://www.compass.com/building/171-18-111th-ave-queens-ny-11433/293529585436438469/","171-18 111th Ave")</f>
        <v>171-18 111th Ave</v>
      </c>
      <c r="F297" s="26" t="s">
        <v>24</v>
      </c>
      <c r="G297" s="29">
        <v>498000.0</v>
      </c>
      <c r="H297" s="29">
        <v>166.0</v>
      </c>
      <c r="I297" s="29">
        <v>4281.0</v>
      </c>
      <c r="J297" s="29">
        <v>51372.0</v>
      </c>
      <c r="K297" s="26" t="s">
        <v>39</v>
      </c>
      <c r="L297" s="27">
        <v>6.0</v>
      </c>
      <c r="M297" s="27">
        <v>3.0</v>
      </c>
      <c r="N297" s="30"/>
      <c r="O297" s="30"/>
      <c r="P297" s="31">
        <v>3000.0</v>
      </c>
      <c r="Q297" s="32">
        <v>127.0</v>
      </c>
      <c r="R297" s="33">
        <v>43602.0</v>
      </c>
      <c r="S297" s="33">
        <v>43309.0</v>
      </c>
      <c r="T297" s="34"/>
      <c r="U297" s="35"/>
      <c r="V297" s="1"/>
    </row>
    <row r="298" ht="24.0" customHeight="1">
      <c r="A298" s="1"/>
      <c r="B298" s="25" t="str">
        <f>HYPERLINK("https://www.compass.com/listing/92-26-168th-place-queens-ny-11433/1730619643459481385/view?agent_id=610d3f3370540700019b0833","92-26 168th Place")</f>
        <v>92-26 168th Place</v>
      </c>
      <c r="C298" s="26" t="s">
        <v>53</v>
      </c>
      <c r="D298" s="27" t="s">
        <v>23</v>
      </c>
      <c r="E298" s="28" t="str">
        <f>HYPERLINK("https://www.compass.com/building/92-26-168th-pl-queens-ny-11433/293530100647921045/","92-26 168th Pl")</f>
        <v>92-26 168th Pl</v>
      </c>
      <c r="F298" s="26" t="s">
        <v>24</v>
      </c>
      <c r="G298" s="29">
        <v>439000.0</v>
      </c>
      <c r="H298" s="29">
        <v>320.0</v>
      </c>
      <c r="I298" s="29">
        <v>250.0</v>
      </c>
      <c r="J298" s="29">
        <v>3000.0</v>
      </c>
      <c r="K298" s="26" t="s">
        <v>25</v>
      </c>
      <c r="L298" s="27">
        <v>5.0</v>
      </c>
      <c r="M298" s="27">
        <v>3.0</v>
      </c>
      <c r="N298" s="27">
        <v>1.0</v>
      </c>
      <c r="O298" s="30"/>
      <c r="P298" s="31">
        <v>1372.0</v>
      </c>
      <c r="Q298" s="32">
        <v>58.0</v>
      </c>
      <c r="R298" s="33">
        <v>45597.0</v>
      </c>
      <c r="S298" s="33">
        <v>41484.0</v>
      </c>
      <c r="T298" s="34"/>
      <c r="U298" s="35"/>
      <c r="V298" s="1"/>
    </row>
    <row r="299" ht="24.0" customHeight="1">
      <c r="A299" s="1"/>
      <c r="B299" s="25" t="str">
        <f>HYPERLINK("https://www.compass.com/listing/164-13-109th-avenue-queens-ny-11433/197773270580215617/view?agent_id=610d3f3370540700019b0833","164-13 109th Avenue")</f>
        <v>164-13 109th Avenue</v>
      </c>
      <c r="C299" s="26" t="s">
        <v>54</v>
      </c>
      <c r="D299" s="27" t="s">
        <v>23</v>
      </c>
      <c r="E299" s="28" t="str">
        <f>HYPERLINK("https://www.compass.com/building/164-13-109th-ave-queens-ny-11433/293529087043982261/","164-13 109th Ave")</f>
        <v>164-13 109th Ave</v>
      </c>
      <c r="F299" s="26" t="s">
        <v>24</v>
      </c>
      <c r="G299" s="29">
        <v>449999.0</v>
      </c>
      <c r="H299" s="29">
        <v>353.0</v>
      </c>
      <c r="I299" s="29">
        <v>313.0</v>
      </c>
      <c r="J299" s="29">
        <v>3750.0</v>
      </c>
      <c r="K299" s="26" t="s">
        <v>25</v>
      </c>
      <c r="L299" s="27">
        <v>5.0</v>
      </c>
      <c r="M299" s="27">
        <v>3.0</v>
      </c>
      <c r="N299" s="27">
        <v>1.0</v>
      </c>
      <c r="O299" s="30"/>
      <c r="P299" s="31">
        <v>1275.0</v>
      </c>
      <c r="Q299" s="32">
        <v>61.0</v>
      </c>
      <c r="R299" s="33">
        <v>45597.0</v>
      </c>
      <c r="S299" s="33">
        <v>43049.0</v>
      </c>
      <c r="T299" s="34"/>
      <c r="U299" s="35"/>
      <c r="V299" s="1"/>
    </row>
    <row r="300" ht="24.0" customHeight="1">
      <c r="A300" s="1"/>
      <c r="B300" s="25" t="str">
        <f>HYPERLINK("https://www.compass.com/listing/150-25-arlington-terrace-queens-ny-11433/500855792447316265/view?agent_id=610d3f3370540700019b0833","150-25 Arlington Terrace")</f>
        <v>150-25 Arlington Terrace</v>
      </c>
      <c r="C300" s="26" t="s">
        <v>53</v>
      </c>
      <c r="D300" s="27" t="s">
        <v>23</v>
      </c>
      <c r="E300" s="28" t="str">
        <f>HYPERLINK("https://www.compass.com/building/150-25-arlington-ter-queens-ny-11433/293532722943588677/","150-25 Arlington Ter")</f>
        <v>150-25 Arlington Ter</v>
      </c>
      <c r="F300" s="26" t="s">
        <v>24</v>
      </c>
      <c r="G300" s="29">
        <v>425000.0</v>
      </c>
      <c r="H300" s="29">
        <v>290.0</v>
      </c>
      <c r="I300" s="29">
        <v>277.0</v>
      </c>
      <c r="J300" s="29">
        <v>3325.0</v>
      </c>
      <c r="K300" s="26" t="s">
        <v>25</v>
      </c>
      <c r="L300" s="27">
        <v>5.0</v>
      </c>
      <c r="M300" s="27">
        <v>3.0</v>
      </c>
      <c r="N300" s="27">
        <v>1.0</v>
      </c>
      <c r="O300" s="30"/>
      <c r="P300" s="31">
        <v>1468.0</v>
      </c>
      <c r="Q300" s="32">
        <v>119.0</v>
      </c>
      <c r="R300" s="33">
        <v>45597.0</v>
      </c>
      <c r="S300" s="33">
        <v>42646.0</v>
      </c>
      <c r="T300" s="34"/>
      <c r="U300" s="35"/>
      <c r="V300" s="1"/>
    </row>
    <row r="301" ht="24.0" customHeight="1">
      <c r="A301" s="1"/>
      <c r="B301" s="25" t="str">
        <f>HYPERLINK("https://www.compass.com/listing/110-11-guy-r-brewer-boulevard-queens-ny-11433/1448616141604644097/view?agent_id=610d3f3370540700019b0833","110-11 Guy R Brewer Boulevard")</f>
        <v>110-11 Guy R Brewer Boulevard</v>
      </c>
      <c r="C301" s="26" t="s">
        <v>53</v>
      </c>
      <c r="D301" s="27" t="s">
        <v>23</v>
      </c>
      <c r="E301" s="28" t="str">
        <f>HYPERLINK("https://www.compass.com/building/110-11-guy-r-brewer-blvd-queens-ny-11433/293529641589676229/","110-11 Guy R Brewer Blvd")</f>
        <v>110-11 Guy R Brewer Blvd</v>
      </c>
      <c r="F301" s="26" t="s">
        <v>24</v>
      </c>
      <c r="G301" s="29">
        <v>545000.0</v>
      </c>
      <c r="H301" s="29">
        <v>430.0</v>
      </c>
      <c r="I301" s="29">
        <v>262.0</v>
      </c>
      <c r="J301" s="29">
        <v>3148.0</v>
      </c>
      <c r="K301" s="26" t="s">
        <v>25</v>
      </c>
      <c r="L301" s="27">
        <v>6.0</v>
      </c>
      <c r="M301" s="27">
        <v>3.0</v>
      </c>
      <c r="N301" s="27">
        <v>1.0</v>
      </c>
      <c r="O301" s="30"/>
      <c r="P301" s="31">
        <v>1268.0</v>
      </c>
      <c r="Q301" s="32">
        <v>30.0</v>
      </c>
      <c r="R301" s="33">
        <v>45717.0</v>
      </c>
      <c r="S301" s="33">
        <v>45250.0</v>
      </c>
      <c r="T301" s="34"/>
      <c r="U301" s="35"/>
      <c r="V301" s="1"/>
    </row>
    <row r="302" ht="24.0" customHeight="1">
      <c r="A302" s="1"/>
      <c r="B302" s="25" t="str">
        <f>HYPERLINK("https://www.compass.com/listing/110-35-175th-street-unit-a-queens-ny-11433/488090987494126057/view?agent_id=610d3f3370540700019b0833","110-35 175th Street, Unit A")</f>
        <v>110-35 175th Street, Unit A</v>
      </c>
      <c r="C302" s="26" t="s">
        <v>54</v>
      </c>
      <c r="D302" s="27" t="s">
        <v>23</v>
      </c>
      <c r="E302" s="28" t="str">
        <f>HYPERLINK("https://www.compass.com/building/110-35-175th-st-queens-ny-11433/293417376420998069/","110-35 175th St")</f>
        <v>110-35 175th St</v>
      </c>
      <c r="F302" s="26" t="s">
        <v>24</v>
      </c>
      <c r="G302" s="29">
        <v>585000.0</v>
      </c>
      <c r="H302" s="34"/>
      <c r="I302" s="29">
        <v>0.0</v>
      </c>
      <c r="J302" s="29">
        <v>0.0</v>
      </c>
      <c r="K302" s="26" t="s">
        <v>39</v>
      </c>
      <c r="L302" s="27">
        <v>15.0</v>
      </c>
      <c r="M302" s="27">
        <v>3.0</v>
      </c>
      <c r="N302" s="30"/>
      <c r="O302" s="30"/>
      <c r="P302" s="30"/>
      <c r="Q302" s="32">
        <v>185.0</v>
      </c>
      <c r="R302" s="33">
        <v>44247.0</v>
      </c>
      <c r="S302" s="33">
        <v>43923.0</v>
      </c>
      <c r="T302" s="34"/>
      <c r="U302" s="35"/>
      <c r="V302" s="1"/>
    </row>
    <row r="303" ht="24.0" customHeight="1">
      <c r="A303" s="1"/>
      <c r="B303" s="25" t="str">
        <f>HYPERLINK("https://www.compass.com/listing/110-48-158th-street-queens-ny-11433/96298222808500033/view?agent_id=610d3f3370540700019b0833","110-48 158th Street")</f>
        <v>110-48 158th Street</v>
      </c>
      <c r="C303" s="26" t="s">
        <v>54</v>
      </c>
      <c r="D303" s="27" t="s">
        <v>23</v>
      </c>
      <c r="E303" s="28" t="str">
        <f>HYPERLINK("https://www.compass.com/building/110-48-158th-st-queens-ny-11433/293529374672568373/","110-48 158th St")</f>
        <v>110-48 158th St</v>
      </c>
      <c r="F303" s="26" t="s">
        <v>24</v>
      </c>
      <c r="G303" s="29">
        <v>499000.0</v>
      </c>
      <c r="H303" s="29">
        <v>277.0</v>
      </c>
      <c r="I303" s="29">
        <v>4835.0</v>
      </c>
      <c r="J303" s="29">
        <v>58020.0</v>
      </c>
      <c r="K303" s="26" t="s">
        <v>39</v>
      </c>
      <c r="L303" s="27">
        <v>6.0</v>
      </c>
      <c r="M303" s="27">
        <v>3.0</v>
      </c>
      <c r="N303" s="30"/>
      <c r="O303" s="30"/>
      <c r="P303" s="31">
        <v>1800.0</v>
      </c>
      <c r="Q303" s="32">
        <v>156.0</v>
      </c>
      <c r="R303" s="33">
        <v>43602.0</v>
      </c>
      <c r="S303" s="33">
        <v>43384.0</v>
      </c>
      <c r="T303" s="34"/>
      <c r="U303" s="35"/>
      <c r="V303" s="1"/>
    </row>
    <row r="304" ht="24.0" customHeight="1">
      <c r="A304" s="1"/>
      <c r="B304" s="25" t="str">
        <f>HYPERLINK("https://www.compass.com/listing/107-62-166th-street-queens-ny-11433/988372271234722225/view?agent_id=610d3f3370540700019b0833","107-62 166th Street")</f>
        <v>107-62 166th Street</v>
      </c>
      <c r="C304" s="26" t="s">
        <v>53</v>
      </c>
      <c r="D304" s="27" t="s">
        <v>23</v>
      </c>
      <c r="E304" s="28" t="str">
        <f>HYPERLINK("https://www.compass.com/building/107-62-166th-st-queens-ny-11433/293418378985600709/","107-62 166th St")</f>
        <v>107-62 166th St</v>
      </c>
      <c r="F304" s="26" t="s">
        <v>24</v>
      </c>
      <c r="G304" s="29">
        <v>749000.0</v>
      </c>
      <c r="H304" s="29">
        <v>451.0</v>
      </c>
      <c r="I304" s="29">
        <v>213.0</v>
      </c>
      <c r="J304" s="29">
        <v>2554.0</v>
      </c>
      <c r="K304" s="26" t="s">
        <v>25</v>
      </c>
      <c r="L304" s="27">
        <v>8.0</v>
      </c>
      <c r="M304" s="27">
        <v>3.0</v>
      </c>
      <c r="N304" s="27">
        <v>1.0</v>
      </c>
      <c r="O304" s="30"/>
      <c r="P304" s="31">
        <v>1660.0</v>
      </c>
      <c r="Q304" s="32">
        <v>359.0</v>
      </c>
      <c r="R304" s="33">
        <v>45597.0</v>
      </c>
      <c r="S304" s="33">
        <v>44615.0</v>
      </c>
      <c r="T304" s="34"/>
      <c r="U304" s="35"/>
      <c r="V304" s="1"/>
    </row>
    <row r="305" ht="24.0" customHeight="1">
      <c r="A305" s="1"/>
      <c r="B305" s="25" t="str">
        <f>HYPERLINK("https://www.compass.com/listing/109-25-175th-street-queens-ny-11433/152116994458551105/view?agent_id=610d3f3370540700019b0833","109-25 175th Street")</f>
        <v>109-25 175th Street</v>
      </c>
      <c r="C305" s="26" t="s">
        <v>54</v>
      </c>
      <c r="D305" s="27" t="s">
        <v>23</v>
      </c>
      <c r="E305" s="28" t="str">
        <f>HYPERLINK("https://www.compass.com/building/109-25-175th-st-queens-ny-11433/293529494076068165/","109-25 175th St")</f>
        <v>109-25 175th St</v>
      </c>
      <c r="F305" s="26" t="s">
        <v>24</v>
      </c>
      <c r="G305" s="29">
        <v>535000.0</v>
      </c>
      <c r="H305" s="34"/>
      <c r="I305" s="29">
        <v>0.0</v>
      </c>
      <c r="J305" s="29">
        <v>0.0</v>
      </c>
      <c r="K305" s="26" t="s">
        <v>39</v>
      </c>
      <c r="L305" s="27">
        <v>6.0</v>
      </c>
      <c r="M305" s="27">
        <v>3.0</v>
      </c>
      <c r="N305" s="30"/>
      <c r="O305" s="30"/>
      <c r="P305" s="30"/>
      <c r="Q305" s="32">
        <v>65.0</v>
      </c>
      <c r="R305" s="33">
        <v>43602.0</v>
      </c>
      <c r="S305" s="33">
        <v>43461.0</v>
      </c>
      <c r="T305" s="34"/>
      <c r="U305" s="35"/>
      <c r="V305" s="1"/>
    </row>
    <row r="306" ht="24.0" customHeight="1">
      <c r="A306" s="1"/>
      <c r="B306" s="25" t="str">
        <f>HYPERLINK("https://www.compass.com/listing/170-07-105th-avenue-queens-ny-11433/760766549340268217/view?agent_id=610d3f3370540700019b0833","170-07 105th Avenue")</f>
        <v>170-07 105th Avenue</v>
      </c>
      <c r="C306" s="26" t="s">
        <v>53</v>
      </c>
      <c r="D306" s="27" t="s">
        <v>23</v>
      </c>
      <c r="E306" s="28" t="str">
        <f>HYPERLINK("https://www.compass.com/building/170-07-105th-ave-queens-ny-11433/293534170020356741/","170-07 105th Ave")</f>
        <v>170-07 105th Ave</v>
      </c>
      <c r="F306" s="26" t="s">
        <v>24</v>
      </c>
      <c r="G306" s="29">
        <v>436000.0</v>
      </c>
      <c r="H306" s="29">
        <v>411.0</v>
      </c>
      <c r="I306" s="29">
        <v>375.0</v>
      </c>
      <c r="J306" s="29">
        <v>4502.0</v>
      </c>
      <c r="K306" s="26" t="s">
        <v>25</v>
      </c>
      <c r="L306" s="27">
        <v>7.0</v>
      </c>
      <c r="M306" s="27">
        <v>3.0</v>
      </c>
      <c r="N306" s="27">
        <v>1.0</v>
      </c>
      <c r="O306" s="30"/>
      <c r="P306" s="31">
        <v>1060.0</v>
      </c>
      <c r="Q306" s="32">
        <v>34.0</v>
      </c>
      <c r="R306" s="33">
        <v>45597.0</v>
      </c>
      <c r="S306" s="33">
        <v>44301.0</v>
      </c>
      <c r="T306" s="34"/>
      <c r="U306" s="35"/>
      <c r="V306" s="1"/>
    </row>
    <row r="307" ht="24.0" customHeight="1">
      <c r="A307" s="1"/>
      <c r="B307" s="25" t="str">
        <f>HYPERLINK("https://www.compass.com/listing/110-15-155th-street-queens-ny-11433/1430137463744099041/view?agent_id=610d3f3370540700019b0833","110-15 155th Street")</f>
        <v>110-15 155th Street</v>
      </c>
      <c r="C307" s="26" t="s">
        <v>53</v>
      </c>
      <c r="D307" s="27" t="s">
        <v>23</v>
      </c>
      <c r="E307" s="28" t="str">
        <f>HYPERLINK("https://www.compass.com/building/110-15-155th-st-queens-ny-11433/293533651914806933/","110-15 155th St")</f>
        <v>110-15 155th St</v>
      </c>
      <c r="F307" s="26" t="s">
        <v>24</v>
      </c>
      <c r="G307" s="29">
        <v>530000.0</v>
      </c>
      <c r="H307" s="29">
        <v>576.0</v>
      </c>
      <c r="I307" s="29">
        <v>383.0</v>
      </c>
      <c r="J307" s="29">
        <v>4590.0</v>
      </c>
      <c r="K307" s="26" t="s">
        <v>25</v>
      </c>
      <c r="L307" s="27">
        <v>6.0</v>
      </c>
      <c r="M307" s="27">
        <v>3.0</v>
      </c>
      <c r="N307" s="27">
        <v>1.0</v>
      </c>
      <c r="O307" s="30"/>
      <c r="P307" s="27">
        <v>920.0</v>
      </c>
      <c r="Q307" s="32">
        <v>13.0</v>
      </c>
      <c r="R307" s="33">
        <v>45597.0</v>
      </c>
      <c r="S307" s="33">
        <v>45225.0</v>
      </c>
      <c r="T307" s="34"/>
      <c r="U307" s="35"/>
      <c r="V307" s="1"/>
    </row>
    <row r="308" ht="24.0" customHeight="1">
      <c r="A308" s="1"/>
      <c r="B308" s="25" t="str">
        <f>HYPERLINK("https://www.compass.com/listing/158-18-111th-avenue-queens-ny-11433/748513360047648145/view?agent_id=610d3f3370540700019b0833","158-18 111th Avenue")</f>
        <v>158-18 111th Avenue</v>
      </c>
      <c r="C308" s="26" t="s">
        <v>53</v>
      </c>
      <c r="D308" s="27" t="s">
        <v>23</v>
      </c>
      <c r="E308" s="28" t="str">
        <f>HYPERLINK("https://www.compass.com/building/158-18-111th-ave-queens-ny-11433/293418049321566853/","158-18 111th Ave")</f>
        <v>158-18 111th Ave</v>
      </c>
      <c r="F308" s="26" t="s">
        <v>24</v>
      </c>
      <c r="G308" s="29">
        <v>545000.0</v>
      </c>
      <c r="H308" s="29">
        <v>437.0</v>
      </c>
      <c r="I308" s="29">
        <v>291.0</v>
      </c>
      <c r="J308" s="29">
        <v>3496.0</v>
      </c>
      <c r="K308" s="26" t="s">
        <v>25</v>
      </c>
      <c r="L308" s="27">
        <v>7.0</v>
      </c>
      <c r="M308" s="27">
        <v>3.0</v>
      </c>
      <c r="N308" s="30"/>
      <c r="O308" s="30"/>
      <c r="P308" s="31">
        <v>1248.0</v>
      </c>
      <c r="Q308" s="32">
        <v>278.0</v>
      </c>
      <c r="R308" s="33">
        <v>45597.0</v>
      </c>
      <c r="S308" s="33">
        <v>44283.0</v>
      </c>
      <c r="T308" s="34"/>
      <c r="U308" s="35"/>
      <c r="V308" s="1"/>
    </row>
    <row r="309" ht="24.0" customHeight="1">
      <c r="A309" s="1"/>
      <c r="B309" s="25" t="str">
        <f>HYPERLINK("https://www.compass.com/listing/110-11-guy-r-brewer-boulevard-queens-ny-11433/1105017658467084025/view?agent_id=610d3f3370540700019b0833","110-11 Guy R Brewer Boulevard")</f>
        <v>110-11 Guy R Brewer Boulevard</v>
      </c>
      <c r="C309" s="26" t="s">
        <v>53</v>
      </c>
      <c r="D309" s="27" t="s">
        <v>23</v>
      </c>
      <c r="E309" s="28" t="str">
        <f>HYPERLINK("https://www.compass.com/building/110-11-guy-r-brewer-blvd-queens-ny-11433/293529641589676229/","110-11 Guy R Brewer Blvd")</f>
        <v>110-11 Guy R Brewer Blvd</v>
      </c>
      <c r="F309" s="26" t="s">
        <v>24</v>
      </c>
      <c r="G309" s="29">
        <v>580000.0</v>
      </c>
      <c r="H309" s="29">
        <v>457.0</v>
      </c>
      <c r="I309" s="29">
        <v>244.0</v>
      </c>
      <c r="J309" s="29">
        <v>2930.0</v>
      </c>
      <c r="K309" s="26" t="s">
        <v>25</v>
      </c>
      <c r="L309" s="27">
        <v>6.0</v>
      </c>
      <c r="M309" s="27">
        <v>3.0</v>
      </c>
      <c r="N309" s="27">
        <v>1.0</v>
      </c>
      <c r="O309" s="30"/>
      <c r="P309" s="31">
        <v>1268.0</v>
      </c>
      <c r="Q309" s="32">
        <v>193.0</v>
      </c>
      <c r="R309" s="33">
        <v>45597.0</v>
      </c>
      <c r="S309" s="33">
        <v>44784.0</v>
      </c>
      <c r="T309" s="34"/>
      <c r="U309" s="35"/>
      <c r="V309" s="1"/>
    </row>
    <row r="310" ht="24.0" customHeight="1">
      <c r="A310" s="1"/>
      <c r="B310" s="25" t="str">
        <f>HYPERLINK("https://www.compass.com/listing/108-05-157th-street-unit-1-queens-ny-11433/237288639833313921/view?agent_id=610d3f3370540700019b0833","108-05 157th Street, Unit 1")</f>
        <v>108-05 157th Street, Unit 1</v>
      </c>
      <c r="C310" s="26" t="s">
        <v>54</v>
      </c>
      <c r="D310" s="27" t="s">
        <v>23</v>
      </c>
      <c r="E310" s="28" t="str">
        <f>HYPERLINK("https://www.compass.com/building/108-05-157th-st-queens-ny-11433/293532209443261013/","108-05 157th St")</f>
        <v>108-05 157th St</v>
      </c>
      <c r="F310" s="26" t="s">
        <v>24</v>
      </c>
      <c r="G310" s="29">
        <v>499000.0</v>
      </c>
      <c r="H310" s="34"/>
      <c r="I310" s="29">
        <v>349.0</v>
      </c>
      <c r="J310" s="29">
        <v>4188.0</v>
      </c>
      <c r="K310" s="26" t="s">
        <v>39</v>
      </c>
      <c r="L310" s="30"/>
      <c r="M310" s="27">
        <v>3.0</v>
      </c>
      <c r="N310" s="30"/>
      <c r="O310" s="30"/>
      <c r="P310" s="30"/>
      <c r="Q310" s="32">
        <v>0.0</v>
      </c>
      <c r="R310" s="33">
        <v>43602.0</v>
      </c>
      <c r="S310" s="33">
        <v>43579.0</v>
      </c>
      <c r="T310" s="34"/>
      <c r="U310" s="35"/>
      <c r="V310" s="1"/>
    </row>
    <row r="311" ht="24.0" customHeight="1">
      <c r="A311" s="1"/>
      <c r="B311" s="25" t="str">
        <f>HYPERLINK("https://www.compass.com/listing/108-33-157th-street-queens-ny-11433/399394438091728369/view?agent_id=610d3f3370540700019b0833","108-33 157th Street")</f>
        <v>108-33 157th Street</v>
      </c>
      <c r="C311" s="26" t="s">
        <v>53</v>
      </c>
      <c r="D311" s="27" t="s">
        <v>23</v>
      </c>
      <c r="E311" s="28" t="str">
        <f>HYPERLINK("https://www.compass.com/building/108-33-157th-st-queens-ny-11433/293527477907627733/","108-33 157th St")</f>
        <v>108-33 157th St</v>
      </c>
      <c r="F311" s="26" t="s">
        <v>24</v>
      </c>
      <c r="G311" s="29">
        <v>559000.0</v>
      </c>
      <c r="H311" s="29">
        <v>421.0</v>
      </c>
      <c r="I311" s="29">
        <v>272.0</v>
      </c>
      <c r="J311" s="29">
        <v>3260.0</v>
      </c>
      <c r="K311" s="26" t="s">
        <v>25</v>
      </c>
      <c r="L311" s="27">
        <v>9.0</v>
      </c>
      <c r="M311" s="27">
        <v>3.0</v>
      </c>
      <c r="N311" s="27">
        <v>1.0</v>
      </c>
      <c r="O311" s="30"/>
      <c r="P311" s="31">
        <v>1328.0</v>
      </c>
      <c r="Q311" s="32">
        <v>91.0</v>
      </c>
      <c r="R311" s="33">
        <v>45637.0</v>
      </c>
      <c r="S311" s="33">
        <v>43802.0</v>
      </c>
      <c r="T311" s="34"/>
      <c r="U311" s="35"/>
      <c r="V311" s="1"/>
    </row>
    <row r="312" ht="24.0" customHeight="1">
      <c r="A312" s="1"/>
      <c r="B312" s="25" t="str">
        <f>HYPERLINK("https://www.compass.com/listing/164-54-109th-avenue-queens-ny-11433/792189258231408065/view?agent_id=610d3f3370540700019b0833","164-54 109th Avenue")</f>
        <v>164-54 109th Avenue</v>
      </c>
      <c r="C312" s="26" t="s">
        <v>53</v>
      </c>
      <c r="D312" s="27" t="s">
        <v>23</v>
      </c>
      <c r="E312" s="28" t="str">
        <f>HYPERLINK("https://www.compass.com/building/164-54-109th-ave-queens-ny-11433/293526866587835861/","164-54 109th Ave")</f>
        <v>164-54 109th Ave</v>
      </c>
      <c r="F312" s="26" t="s">
        <v>24</v>
      </c>
      <c r="G312" s="29">
        <v>569888.0</v>
      </c>
      <c r="H312" s="29">
        <v>509.0</v>
      </c>
      <c r="I312" s="29">
        <v>246.0</v>
      </c>
      <c r="J312" s="29">
        <v>2957.0</v>
      </c>
      <c r="K312" s="26" t="s">
        <v>25</v>
      </c>
      <c r="L312" s="27">
        <v>7.0</v>
      </c>
      <c r="M312" s="27">
        <v>3.0</v>
      </c>
      <c r="N312" s="27">
        <v>1.0</v>
      </c>
      <c r="O312" s="30"/>
      <c r="P312" s="31">
        <v>1120.0</v>
      </c>
      <c r="Q312" s="32">
        <v>217.0</v>
      </c>
      <c r="R312" s="33">
        <v>45597.0</v>
      </c>
      <c r="S312" s="33">
        <v>44344.0</v>
      </c>
      <c r="T312" s="34"/>
      <c r="U312" s="35"/>
      <c r="V312" s="1"/>
    </row>
    <row r="313" ht="24.0" customHeight="1">
      <c r="A313" s="1"/>
      <c r="B313" s="25" t="str">
        <f>HYPERLINK("https://www.compass.com/listing/175-44-liberty-avenue-queens-ny-11433/197770467921187313/view?agent_id=610d3f3370540700019b0833","175-44 Liberty Avenue")</f>
        <v>175-44 Liberty Avenue</v>
      </c>
      <c r="C313" s="26" t="s">
        <v>53</v>
      </c>
      <c r="D313" s="27" t="s">
        <v>23</v>
      </c>
      <c r="E313" s="28" t="str">
        <f>HYPERLINK("https://www.compass.com/building/175-44-liberty-ave-queens-ny-11433/293418469045601765/","175-44 Liberty Ave")</f>
        <v>175-44 Liberty Ave</v>
      </c>
      <c r="F313" s="26" t="s">
        <v>24</v>
      </c>
      <c r="G313" s="29">
        <v>899000.0</v>
      </c>
      <c r="H313" s="29">
        <v>348.0</v>
      </c>
      <c r="I313" s="29">
        <v>277.0</v>
      </c>
      <c r="J313" s="29">
        <v>3322.0</v>
      </c>
      <c r="K313" s="26" t="s">
        <v>25</v>
      </c>
      <c r="L313" s="27">
        <v>6.0</v>
      </c>
      <c r="M313" s="27">
        <v>3.0</v>
      </c>
      <c r="N313" s="27">
        <v>1.0</v>
      </c>
      <c r="O313" s="30"/>
      <c r="P313" s="31">
        <v>2580.0</v>
      </c>
      <c r="Q313" s="32">
        <v>575.0</v>
      </c>
      <c r="R313" s="33">
        <v>45597.0</v>
      </c>
      <c r="S313" s="33">
        <v>42890.0</v>
      </c>
      <c r="T313" s="34"/>
      <c r="U313" s="35"/>
      <c r="V313" s="1"/>
    </row>
    <row r="314" ht="24.0" customHeight="1">
      <c r="A314" s="1"/>
      <c r="B314" s="25" t="str">
        <f>HYPERLINK("https://www.compass.com/listing/110-25-172nd-street-queens-ny-11433/1138015004911502033/view?agent_id=610d3f3370540700019b0833","110-25 172nd Street")</f>
        <v>110-25 172nd Street</v>
      </c>
      <c r="C314" s="26" t="s">
        <v>54</v>
      </c>
      <c r="D314" s="27" t="s">
        <v>23</v>
      </c>
      <c r="E314" s="28" t="str">
        <f>HYPERLINK("https://www.compass.com/building/110-25-172nd-st-queens-ny-11433/293527489710404133/","110-25 172nd St")</f>
        <v>110-25 172nd St</v>
      </c>
      <c r="F314" s="26" t="s">
        <v>24</v>
      </c>
      <c r="G314" s="29">
        <v>555000.0</v>
      </c>
      <c r="H314" s="29">
        <v>453.0</v>
      </c>
      <c r="I314" s="29">
        <v>389.0</v>
      </c>
      <c r="J314" s="29">
        <v>4668.0</v>
      </c>
      <c r="K314" s="26" t="s">
        <v>56</v>
      </c>
      <c r="L314" s="30"/>
      <c r="M314" s="27">
        <v>3.0</v>
      </c>
      <c r="N314" s="30"/>
      <c r="O314" s="30"/>
      <c r="P314" s="31">
        <v>1224.0</v>
      </c>
      <c r="Q314" s="32">
        <v>6.0</v>
      </c>
      <c r="R314" s="33">
        <v>44824.0</v>
      </c>
      <c r="S314" s="33">
        <v>44506.0</v>
      </c>
      <c r="T314" s="34"/>
      <c r="U314" s="35"/>
      <c r="V314" s="1"/>
    </row>
    <row r="315" ht="24.0" customHeight="1">
      <c r="A315" s="1"/>
      <c r="B315" s="25" t="str">
        <f>HYPERLINK("https://www.compass.com/listing/109-12-167th-street-queens-ny-11433/951823470137666313/view?agent_id=610d3f3370540700019b0833","109-12 167th Street")</f>
        <v>109-12 167th Street</v>
      </c>
      <c r="C315" s="26" t="s">
        <v>54</v>
      </c>
      <c r="D315" s="27" t="s">
        <v>23</v>
      </c>
      <c r="E315" s="28" t="str">
        <f>HYPERLINK("https://www.compass.com/building/109-12-167th-st-queens-ny-11433/293530096914989077/","109-12 167th St")</f>
        <v>109-12 167th St</v>
      </c>
      <c r="F315" s="26" t="s">
        <v>24</v>
      </c>
      <c r="G315" s="29">
        <v>649999.0</v>
      </c>
      <c r="H315" s="29">
        <v>547.0</v>
      </c>
      <c r="I315" s="29">
        <v>455.0</v>
      </c>
      <c r="J315" s="29">
        <v>5460.0</v>
      </c>
      <c r="K315" s="26" t="s">
        <v>39</v>
      </c>
      <c r="L315" s="30"/>
      <c r="M315" s="27">
        <v>3.0</v>
      </c>
      <c r="N315" s="30"/>
      <c r="O315" s="30"/>
      <c r="P315" s="31">
        <v>1188.0</v>
      </c>
      <c r="Q315" s="32">
        <v>1.0</v>
      </c>
      <c r="R315" s="33">
        <v>44896.0</v>
      </c>
      <c r="S315" s="33">
        <v>44565.0</v>
      </c>
      <c r="T315" s="34"/>
      <c r="U315" s="35"/>
      <c r="V315" s="1"/>
    </row>
    <row r="316" ht="24.0" customHeight="1">
      <c r="A316" s="1"/>
      <c r="B316" s="25" t="str">
        <f>HYPERLINK("https://www.compass.com/listing/111-38-168th-street-queens-ny-11433/165550339980845185/view?agent_id=610d3f3370540700019b0833","111-38 168th Street")</f>
        <v>111-38 168th Street</v>
      </c>
      <c r="C316" s="26" t="s">
        <v>54</v>
      </c>
      <c r="D316" s="27" t="s">
        <v>23</v>
      </c>
      <c r="E316" s="28" t="str">
        <f>HYPERLINK("https://www.compass.com/building/111-38-168th-st-queens-ny-11433/293417414480126005/","111-38 168th St")</f>
        <v>111-38 168th St</v>
      </c>
      <c r="F316" s="26" t="s">
        <v>24</v>
      </c>
      <c r="G316" s="29">
        <v>550000.0</v>
      </c>
      <c r="H316" s="29">
        <v>344.0</v>
      </c>
      <c r="I316" s="29">
        <v>4000.0</v>
      </c>
      <c r="J316" s="29">
        <v>48000.0</v>
      </c>
      <c r="K316" s="26" t="s">
        <v>44</v>
      </c>
      <c r="L316" s="27">
        <v>9.0</v>
      </c>
      <c r="M316" s="27">
        <v>3.0</v>
      </c>
      <c r="N316" s="30"/>
      <c r="O316" s="30"/>
      <c r="P316" s="31">
        <v>1600.0</v>
      </c>
      <c r="Q316" s="32">
        <v>71.0</v>
      </c>
      <c r="R316" s="33">
        <v>43602.0</v>
      </c>
      <c r="S316" s="33">
        <v>43480.0</v>
      </c>
      <c r="T316" s="34"/>
      <c r="U316" s="35"/>
      <c r="V316" s="1"/>
    </row>
    <row r="317" ht="24.0" customHeight="1">
      <c r="A317" s="1"/>
      <c r="B317" s="25" t="str">
        <f>HYPERLINK("https://www.compass.com/listing/160-10-89th-avenue-unit-d-queens-ny-11432/572935750130379641/view?agent_id=610d3f3370540700019b0833","160-10 89th Avenue, Unit D")</f>
        <v>160-10 89th Avenue, Unit D</v>
      </c>
      <c r="C317" s="26" t="s">
        <v>54</v>
      </c>
      <c r="D317" s="27" t="s">
        <v>23</v>
      </c>
      <c r="E317" s="28" t="str">
        <f>HYPERLINK("https://www.compass.com/building/160-10-89th-ave-queens-ny-11432/293533475963683173/","160-10 89th Ave")</f>
        <v>160-10 89th Ave</v>
      </c>
      <c r="F317" s="26" t="s">
        <v>24</v>
      </c>
      <c r="G317" s="29">
        <v>325000.0</v>
      </c>
      <c r="H317" s="29">
        <v>241.0</v>
      </c>
      <c r="I317" s="29">
        <v>1305.0</v>
      </c>
      <c r="J317" s="29">
        <v>0.0</v>
      </c>
      <c r="K317" s="26" t="s">
        <v>33</v>
      </c>
      <c r="L317" s="27">
        <v>6.0</v>
      </c>
      <c r="M317" s="27">
        <v>3.0</v>
      </c>
      <c r="N317" s="30"/>
      <c r="O317" s="30"/>
      <c r="P317" s="31">
        <v>1350.0</v>
      </c>
      <c r="Q317" s="32">
        <v>147.0</v>
      </c>
      <c r="R317" s="33">
        <v>44194.0</v>
      </c>
      <c r="S317" s="33">
        <v>44041.0</v>
      </c>
      <c r="T317" s="34"/>
      <c r="U317" s="35"/>
      <c r="V317" s="1"/>
    </row>
    <row r="318" ht="24.0" customHeight="1">
      <c r="A318" s="1"/>
      <c r="B318" s="25" t="str">
        <f>HYPERLINK("https://www.compass.com/listing/177-37-106th-road-queens-ny-11433/850118216545329505/view?agent_id=610d3f3370540700019b0833","177-37 106th Rd")</f>
        <v>177-37 106th Rd</v>
      </c>
      <c r="C318" s="26" t="s">
        <v>52</v>
      </c>
      <c r="D318" s="27" t="s">
        <v>23</v>
      </c>
      <c r="E318" s="28" t="str">
        <f>HYPERLINK("https://www.compass.com/building/177-37-106th-rd-queens-ny-11433/293534735664152805/","177-37 106th Rd")</f>
        <v>177-37 106th Rd</v>
      </c>
      <c r="F318" s="26" t="s">
        <v>24</v>
      </c>
      <c r="G318" s="29">
        <v>2200.0</v>
      </c>
      <c r="H318" s="34"/>
      <c r="I318" s="29">
        <v>0.0</v>
      </c>
      <c r="J318" s="29">
        <v>0.0</v>
      </c>
      <c r="K318" s="49"/>
      <c r="L318" s="30"/>
      <c r="M318" s="27">
        <v>3.0</v>
      </c>
      <c r="N318" s="27">
        <v>1.0</v>
      </c>
      <c r="O318" s="27">
        <v>0.0</v>
      </c>
      <c r="P318" s="30"/>
      <c r="Q318" s="32">
        <v>5.0</v>
      </c>
      <c r="R318" s="33">
        <v>43888.0</v>
      </c>
      <c r="S318" s="33">
        <v>43883.0</v>
      </c>
      <c r="T318" s="34"/>
      <c r="U318" s="35"/>
      <c r="V318" s="1"/>
    </row>
    <row r="319" ht="24.0" customHeight="1">
      <c r="A319" s="1"/>
      <c r="B319" s="25" t="str">
        <f>HYPERLINK("https://www.compass.com/listing/178-27-93rd-avenue-queens-ny-11433/1726675252302072913/view?agent_id=610d3f3370540700019b0833","178-27 93rd Avenue")</f>
        <v>178-27 93rd Avenue</v>
      </c>
      <c r="C319" s="26" t="s">
        <v>53</v>
      </c>
      <c r="D319" s="27" t="s">
        <v>23</v>
      </c>
      <c r="E319" s="28" t="str">
        <f>HYPERLINK("https://www.compass.com/building/178-27-93rd-ave-queens-ny-11433/293533693446822501/","178-27 93rd Ave")</f>
        <v>178-27 93rd Ave</v>
      </c>
      <c r="F319" s="26" t="s">
        <v>30</v>
      </c>
      <c r="G319" s="29">
        <v>349000.0</v>
      </c>
      <c r="H319" s="29">
        <v>273.0</v>
      </c>
      <c r="I319" s="29">
        <v>208.0</v>
      </c>
      <c r="J319" s="29">
        <v>2494.0</v>
      </c>
      <c r="K319" s="26" t="s">
        <v>25</v>
      </c>
      <c r="L319" s="27">
        <v>8.0</v>
      </c>
      <c r="M319" s="27">
        <v>3.0</v>
      </c>
      <c r="N319" s="27">
        <v>1.0</v>
      </c>
      <c r="O319" s="30"/>
      <c r="P319" s="31">
        <v>1280.0</v>
      </c>
      <c r="Q319" s="32">
        <v>128.0</v>
      </c>
      <c r="R319" s="33">
        <v>45634.0</v>
      </c>
      <c r="S319" s="33">
        <v>41701.0</v>
      </c>
      <c r="T319" s="34"/>
      <c r="U319" s="35"/>
      <c r="V319" s="1"/>
    </row>
    <row r="320" ht="24.0" customHeight="1">
      <c r="A320" s="1"/>
      <c r="B320" s="25" t="str">
        <f>HYPERLINK("https://www.compass.com/listing/108-35-160th-street-unit-29c-queens-ny-11433/197773157552116081/view?agent_id=610d3f3370540700019b0833","108-35 160th Street, Unit 29C")</f>
        <v>108-35 160th Street, Unit 29C</v>
      </c>
      <c r="C320" s="26" t="s">
        <v>54</v>
      </c>
      <c r="D320" s="27" t="s">
        <v>23</v>
      </c>
      <c r="E320" s="28" t="str">
        <f>HYPERLINK("https://www.compass.com/building/108-35-160th-st-queens-ny-11433/307448712993236133/","108-35 160th St")</f>
        <v>108-35 160th St</v>
      </c>
      <c r="F320" s="26" t="s">
        <v>46</v>
      </c>
      <c r="G320" s="29">
        <v>299800.0</v>
      </c>
      <c r="H320" s="29">
        <v>326.0</v>
      </c>
      <c r="I320" s="29">
        <v>509.0</v>
      </c>
      <c r="J320" s="29">
        <v>2332.0</v>
      </c>
      <c r="K320" s="26" t="s">
        <v>31</v>
      </c>
      <c r="L320" s="27">
        <v>6.0</v>
      </c>
      <c r="M320" s="27">
        <v>3.0</v>
      </c>
      <c r="N320" s="27">
        <v>1.0</v>
      </c>
      <c r="O320" s="30"/>
      <c r="P320" s="27">
        <v>920.0</v>
      </c>
      <c r="Q320" s="32">
        <v>51.0</v>
      </c>
      <c r="R320" s="33">
        <v>45597.0</v>
      </c>
      <c r="S320" s="33">
        <v>43038.0</v>
      </c>
      <c r="T320" s="34"/>
      <c r="U320" s="35"/>
      <c r="V320" s="1"/>
    </row>
    <row r="321" ht="24.0" customHeight="1">
      <c r="A321" s="1"/>
      <c r="B321" s="25" t="str">
        <f>HYPERLINK("https://www.compass.com/listing/108-29-160th-street-queens-ny-11433/1730509413887744057/view?agent_id=610d3f3370540700019b0833","108-29 160th Street")</f>
        <v>108-29 160th Street</v>
      </c>
      <c r="C321" s="26" t="s">
        <v>53</v>
      </c>
      <c r="D321" s="27" t="s">
        <v>23</v>
      </c>
      <c r="E321" s="28" t="str">
        <f>HYPERLINK("https://www.compass.com/building/108-29-160th-st-queens-ny-11433/307446599869206117/","108-29 160th St")</f>
        <v>108-29 160th St</v>
      </c>
      <c r="F321" s="26" t="s">
        <v>46</v>
      </c>
      <c r="G321" s="29">
        <v>195000.0</v>
      </c>
      <c r="H321" s="34"/>
      <c r="I321" s="29">
        <v>241.0</v>
      </c>
      <c r="J321" s="29">
        <v>1226.0</v>
      </c>
      <c r="K321" s="26" t="s">
        <v>31</v>
      </c>
      <c r="L321" s="27">
        <v>6.0</v>
      </c>
      <c r="M321" s="27">
        <v>3.0</v>
      </c>
      <c r="N321" s="27">
        <v>1.0</v>
      </c>
      <c r="O321" s="30"/>
      <c r="P321" s="30"/>
      <c r="Q321" s="32">
        <v>1085.0</v>
      </c>
      <c r="R321" s="33">
        <v>45597.0</v>
      </c>
      <c r="S321" s="33">
        <v>41375.0</v>
      </c>
      <c r="T321" s="34"/>
      <c r="U321" s="35"/>
      <c r="V321" s="1"/>
    </row>
    <row r="322" ht="24.0" customHeight="1">
      <c r="A322" s="1"/>
      <c r="B322" s="25" t="str">
        <f>HYPERLINK("https://www.compass.com/listing/93-02-177th-street-queens-ny-11433/500902158943018529/view?agent_id=610d3f3370540700019b0833","93-02 177th St")</f>
        <v>93-02 177th St</v>
      </c>
      <c r="C322" s="26" t="s">
        <v>54</v>
      </c>
      <c r="D322" s="27" t="s">
        <v>23</v>
      </c>
      <c r="E322" s="28" t="str">
        <f>HYPERLINK("https://www.compass.com/building/93-02-177th-st-queens-ny-11433/293534367974807365/","93-02 177th St")</f>
        <v>93-02 177th St</v>
      </c>
      <c r="F322" s="26" t="s">
        <v>30</v>
      </c>
      <c r="G322" s="29">
        <v>1850.0</v>
      </c>
      <c r="H322" s="34"/>
      <c r="I322" s="29">
        <v>0.0</v>
      </c>
      <c r="J322" s="29">
        <v>0.0</v>
      </c>
      <c r="K322" s="49"/>
      <c r="L322" s="30"/>
      <c r="M322" s="27">
        <v>3.0</v>
      </c>
      <c r="N322" s="27">
        <v>1.0</v>
      </c>
      <c r="O322" s="27">
        <v>0.0</v>
      </c>
      <c r="P322" s="30"/>
      <c r="Q322" s="32">
        <v>394.0</v>
      </c>
      <c r="R322" s="33">
        <v>43869.0</v>
      </c>
      <c r="S322" s="33">
        <v>43475.0</v>
      </c>
      <c r="T322" s="34"/>
      <c r="U322" s="35"/>
      <c r="V322" s="1"/>
    </row>
    <row r="323" ht="24.0" customHeight="1">
      <c r="A323" s="1"/>
      <c r="B323" s="25" t="str">
        <f>HYPERLINK("https://www.compass.com/listing/108-27-160th-street-unit-25b-queens-ny-11433/1764969946023768425/view?agent_id=610d3f3370540700019b0833","108-27 160th Street, Unit 25B")</f>
        <v>108-27 160th Street, Unit 25B</v>
      </c>
      <c r="C323" s="26" t="s">
        <v>53</v>
      </c>
      <c r="D323" s="27" t="s">
        <v>23</v>
      </c>
      <c r="E323" s="27" t="s">
        <v>49</v>
      </c>
      <c r="F323" s="26" t="s">
        <v>46</v>
      </c>
      <c r="G323" s="29">
        <v>415000.0</v>
      </c>
      <c r="H323" s="34"/>
      <c r="I323" s="29">
        <v>541.0</v>
      </c>
      <c r="J323" s="29">
        <v>2975.0</v>
      </c>
      <c r="K323" s="26" t="s">
        <v>31</v>
      </c>
      <c r="L323" s="27">
        <v>5.0</v>
      </c>
      <c r="M323" s="27">
        <v>3.0</v>
      </c>
      <c r="N323" s="27">
        <v>1.0</v>
      </c>
      <c r="O323" s="30"/>
      <c r="P323" s="30"/>
      <c r="Q323" s="32">
        <v>270.0</v>
      </c>
      <c r="R323" s="33">
        <v>45631.0</v>
      </c>
      <c r="S323" s="33">
        <v>44859.0</v>
      </c>
      <c r="T323" s="34"/>
      <c r="U323" s="35"/>
      <c r="V323" s="1"/>
    </row>
    <row r="324" ht="24.0" customHeight="1">
      <c r="A324" s="1"/>
      <c r="B324" s="25" t="str">
        <f>HYPERLINK("https://www.compass.com/listing/108-35-160th-street-queens-ny-11433/197773550935944529/view?agent_id=610d3f3370540700019b0833","108-35 160th Street")</f>
        <v>108-35 160th Street</v>
      </c>
      <c r="C324" s="26" t="s">
        <v>54</v>
      </c>
      <c r="D324" s="27" t="s">
        <v>23</v>
      </c>
      <c r="E324" s="28" t="str">
        <f>HYPERLINK("https://www.compass.com/building/108-35-160th-st-queens-ny-11433/307448712993236133/","108-35 160th St")</f>
        <v>108-35 160th St</v>
      </c>
      <c r="F324" s="26" t="s">
        <v>46</v>
      </c>
      <c r="G324" s="29">
        <v>298000.0</v>
      </c>
      <c r="H324" s="29">
        <v>324.0</v>
      </c>
      <c r="I324" s="29">
        <v>509.0</v>
      </c>
      <c r="J324" s="29">
        <v>2332.0</v>
      </c>
      <c r="K324" s="26" t="s">
        <v>31</v>
      </c>
      <c r="L324" s="27">
        <v>5.0</v>
      </c>
      <c r="M324" s="27">
        <v>3.0</v>
      </c>
      <c r="N324" s="27">
        <v>1.0</v>
      </c>
      <c r="O324" s="30"/>
      <c r="P324" s="27">
        <v>920.0</v>
      </c>
      <c r="Q324" s="32">
        <v>56.0</v>
      </c>
      <c r="R324" s="33">
        <v>45597.0</v>
      </c>
      <c r="S324" s="33">
        <v>43134.0</v>
      </c>
      <c r="T324" s="34"/>
      <c r="U324" s="35"/>
      <c r="V324" s="1"/>
    </row>
    <row r="325" ht="24.0" customHeight="1">
      <c r="A325" s="1"/>
      <c r="B325" s="25" t="str">
        <f>HYPERLINK("https://www.compass.com/listing/108-19-160th-street-queens-ny-11433/500875296330095313/view?agent_id=610d3f3370540700019b0833","108-19 160th Street")</f>
        <v>108-19 160th Street</v>
      </c>
      <c r="C325" s="26" t="s">
        <v>53</v>
      </c>
      <c r="D325" s="27" t="s">
        <v>23</v>
      </c>
      <c r="E325" s="28" t="str">
        <f t="shared" ref="E325:E326" si="16">HYPERLINK("https://www.compass.com/building/108-19-160th-st-queens-ny-11433/307434313310064389/","108-19 160th St")</f>
        <v>108-19 160th St</v>
      </c>
      <c r="F325" s="26" t="s">
        <v>46</v>
      </c>
      <c r="G325" s="29">
        <v>339000.0</v>
      </c>
      <c r="H325" s="34"/>
      <c r="I325" s="29">
        <v>492.0</v>
      </c>
      <c r="J325" s="29">
        <v>2120.0</v>
      </c>
      <c r="K325" s="26" t="s">
        <v>31</v>
      </c>
      <c r="L325" s="27">
        <v>7.0</v>
      </c>
      <c r="M325" s="27">
        <v>3.0</v>
      </c>
      <c r="N325" s="27">
        <v>1.0</v>
      </c>
      <c r="O325" s="30"/>
      <c r="P325" s="30"/>
      <c r="Q325" s="32">
        <v>462.0</v>
      </c>
      <c r="R325" s="33">
        <v>45597.0</v>
      </c>
      <c r="S325" s="33">
        <v>43276.0</v>
      </c>
      <c r="T325" s="34"/>
      <c r="U325" s="35"/>
      <c r="V325" s="1"/>
    </row>
    <row r="326" ht="24.0" customHeight="1">
      <c r="A326" s="1"/>
      <c r="B326" s="25" t="str">
        <f>HYPERLINK("https://www.compass.com/listing/108-19-160th-street-unit-21c-queens-ny-11433/1730626281591855137/view?agent_id=610d3f3370540700019b0833","108-19 160th Street, Unit 21C")</f>
        <v>108-19 160th Street, Unit 21C</v>
      </c>
      <c r="C326" s="26" t="s">
        <v>53</v>
      </c>
      <c r="D326" s="27" t="s">
        <v>23</v>
      </c>
      <c r="E326" s="28" t="str">
        <f t="shared" si="16"/>
        <v>108-19 160th St</v>
      </c>
      <c r="F326" s="26" t="s">
        <v>46</v>
      </c>
      <c r="G326" s="29">
        <v>85000.0</v>
      </c>
      <c r="H326" s="34"/>
      <c r="I326" s="29">
        <v>338.0</v>
      </c>
      <c r="J326" s="29">
        <v>1180.0</v>
      </c>
      <c r="K326" s="26" t="s">
        <v>31</v>
      </c>
      <c r="L326" s="27">
        <v>6.0</v>
      </c>
      <c r="M326" s="27">
        <v>3.0</v>
      </c>
      <c r="N326" s="27">
        <v>1.0</v>
      </c>
      <c r="O326" s="30"/>
      <c r="P326" s="30"/>
      <c r="Q326" s="32">
        <v>367.0</v>
      </c>
      <c r="R326" s="33">
        <v>45597.0</v>
      </c>
      <c r="S326" s="33">
        <v>41303.0</v>
      </c>
      <c r="T326" s="34"/>
      <c r="U326" s="35"/>
      <c r="V326" s="1"/>
    </row>
    <row r="327" ht="24.0" customHeight="1">
      <c r="A327" s="1"/>
      <c r="B327" s="25" t="str">
        <f>HYPERLINK("https://www.compass.com/listing/178-27-93rd-avenue-queens-ny-11433/1730517176831554225/view?agent_id=610d3f3370540700019b0833","178-27 93rd Avenue")</f>
        <v>178-27 93rd Avenue</v>
      </c>
      <c r="C327" s="26" t="s">
        <v>53</v>
      </c>
      <c r="D327" s="27" t="s">
        <v>23</v>
      </c>
      <c r="E327" s="28" t="str">
        <f>HYPERLINK("https://www.compass.com/building/178-27-93rd-ave-queens-ny-11433/293533693446822501/","178-27 93rd Ave")</f>
        <v>178-27 93rd Ave</v>
      </c>
      <c r="F327" s="26" t="s">
        <v>30</v>
      </c>
      <c r="G327" s="29">
        <v>379000.0</v>
      </c>
      <c r="H327" s="29">
        <v>296.0</v>
      </c>
      <c r="I327" s="29">
        <v>208.0</v>
      </c>
      <c r="J327" s="29">
        <v>2494.0</v>
      </c>
      <c r="K327" s="26" t="s">
        <v>25</v>
      </c>
      <c r="L327" s="27">
        <v>8.0</v>
      </c>
      <c r="M327" s="27">
        <v>3.0</v>
      </c>
      <c r="N327" s="27">
        <v>1.0</v>
      </c>
      <c r="O327" s="30"/>
      <c r="P327" s="31">
        <v>1280.0</v>
      </c>
      <c r="Q327" s="32">
        <v>303.0</v>
      </c>
      <c r="R327" s="33">
        <v>45597.0</v>
      </c>
      <c r="S327" s="33">
        <v>41701.0</v>
      </c>
      <c r="T327" s="34"/>
      <c r="U327" s="35"/>
      <c r="V327" s="1"/>
    </row>
    <row r="328" ht="24.0" customHeight="1">
      <c r="A328" s="1"/>
      <c r="B328" s="25" t="str">
        <f>HYPERLINK("https://www.compass.com/listing/108-19-160th-street-queens-ny-11433/197761629155329665/view?agent_id=610d3f3370540700019b0833","108-19 160th Street")</f>
        <v>108-19 160th Street</v>
      </c>
      <c r="C328" s="26" t="s">
        <v>53</v>
      </c>
      <c r="D328" s="27" t="s">
        <v>23</v>
      </c>
      <c r="E328" s="28" t="str">
        <f>HYPERLINK("https://www.compass.com/building/108-19-160th-st-queens-ny-11433/307434313310064389/","108-19 160th St")</f>
        <v>108-19 160th St</v>
      </c>
      <c r="F328" s="26" t="s">
        <v>46</v>
      </c>
      <c r="G328" s="29">
        <v>120000.0</v>
      </c>
      <c r="H328" s="34"/>
      <c r="I328" s="29">
        <v>296.0</v>
      </c>
      <c r="J328" s="29">
        <v>1900.0</v>
      </c>
      <c r="K328" s="26" t="s">
        <v>31</v>
      </c>
      <c r="L328" s="27">
        <v>7.0</v>
      </c>
      <c r="M328" s="27">
        <v>3.0</v>
      </c>
      <c r="N328" s="27">
        <v>1.0</v>
      </c>
      <c r="O328" s="30"/>
      <c r="P328" s="30"/>
      <c r="Q328" s="32">
        <v>6.0</v>
      </c>
      <c r="R328" s="33">
        <v>45597.0</v>
      </c>
      <c r="S328" s="33">
        <v>42419.0</v>
      </c>
      <c r="T328" s="34"/>
      <c r="U328" s="35"/>
      <c r="V328" s="1"/>
    </row>
    <row r="329" ht="24.0" customHeight="1">
      <c r="A329" s="1"/>
      <c r="B329" s="25" t="str">
        <f>HYPERLINK("https://www.compass.com/listing/10827-160th-street-unit-25b-queens-ny-11433/1226909519399127369/view?agent_id=610d3f3370540700019b0833","10827 160th Street, Unit 25B")</f>
        <v>10827 160th Street, Unit 25B</v>
      </c>
      <c r="C329" s="26" t="s">
        <v>52</v>
      </c>
      <c r="D329" s="27" t="s">
        <v>23</v>
      </c>
      <c r="E329" s="27" t="s">
        <v>57</v>
      </c>
      <c r="F329" s="26" t="s">
        <v>46</v>
      </c>
      <c r="G329" s="29">
        <v>415000.0</v>
      </c>
      <c r="H329" s="29">
        <v>456.0</v>
      </c>
      <c r="I329" s="29">
        <v>517.0</v>
      </c>
      <c r="J329" s="29">
        <v>2689.0</v>
      </c>
      <c r="K329" s="26" t="s">
        <v>31</v>
      </c>
      <c r="L329" s="27">
        <v>3.0</v>
      </c>
      <c r="M329" s="27">
        <v>3.0</v>
      </c>
      <c r="N329" s="27">
        <v>1.0</v>
      </c>
      <c r="O329" s="30"/>
      <c r="P329" s="27">
        <v>911.0</v>
      </c>
      <c r="Q329" s="32">
        <v>159.0</v>
      </c>
      <c r="R329" s="33">
        <v>45185.0</v>
      </c>
      <c r="S329" s="33">
        <v>44944.0</v>
      </c>
      <c r="T329" s="34"/>
      <c r="U329" s="35"/>
      <c r="V329" s="1"/>
    </row>
    <row r="330" ht="24.0" customHeight="1">
      <c r="A330" s="1"/>
      <c r="B330" s="25" t="str">
        <f>HYPERLINK("https://www.compass.com/listing/108-21-union-hall-street-queens-ny-11433/457175014209427537/view?agent_id=610d3f3370540700019b0833","108-21 Union Hall Street")</f>
        <v>108-21 Union Hall Street</v>
      </c>
      <c r="C330" s="26" t="s">
        <v>53</v>
      </c>
      <c r="D330" s="27" t="s">
        <v>23</v>
      </c>
      <c r="E330" s="28" t="str">
        <f>HYPERLINK("https://www.compass.com/building/108-21-union-hall-st-queens-ny-11433/293535519227309525/","108-21 Union Hall St")</f>
        <v>108-21 Union Hall St</v>
      </c>
      <c r="F330" s="26" t="s">
        <v>46</v>
      </c>
      <c r="G330" s="29">
        <v>200000.0</v>
      </c>
      <c r="H330" s="29">
        <v>182.0</v>
      </c>
      <c r="I330" s="29">
        <v>244.0</v>
      </c>
      <c r="J330" s="29">
        <v>2923.0</v>
      </c>
      <c r="K330" s="26" t="s">
        <v>25</v>
      </c>
      <c r="L330" s="27">
        <v>5.0</v>
      </c>
      <c r="M330" s="27">
        <v>3.0</v>
      </c>
      <c r="N330" s="27">
        <v>1.0</v>
      </c>
      <c r="O330" s="30"/>
      <c r="P330" s="31">
        <v>1098.0</v>
      </c>
      <c r="Q330" s="32">
        <v>13.0</v>
      </c>
      <c r="R330" s="33">
        <v>45637.0</v>
      </c>
      <c r="S330" s="33">
        <v>43882.0</v>
      </c>
      <c r="T330" s="34"/>
      <c r="U330" s="35"/>
      <c r="V330" s="1"/>
    </row>
    <row r="331" ht="24.0" customHeight="1">
      <c r="A331" s="1"/>
      <c r="B331" s="25" t="str">
        <f>HYPERLINK("https://www.compass.com/listing/108-19-160th-street-unit-21c-queens-ny-11433/907144489655922409/view?agent_id=610d3f3370540700019b0833","108-19 160th Street, Unit 21C")</f>
        <v>108-19 160th Street, Unit 21C</v>
      </c>
      <c r="C331" s="26" t="s">
        <v>53</v>
      </c>
      <c r="D331" s="27" t="s">
        <v>23</v>
      </c>
      <c r="E331" s="28" t="str">
        <f>HYPERLINK("https://www.compass.com/building/108-19-160th-st-queens-ny-11433/307434313310064389/","108-19 160th St")</f>
        <v>108-19 160th St</v>
      </c>
      <c r="F331" s="26" t="s">
        <v>46</v>
      </c>
      <c r="G331" s="29">
        <v>389000.0</v>
      </c>
      <c r="H331" s="29">
        <v>421.0</v>
      </c>
      <c r="I331" s="29">
        <v>247.0</v>
      </c>
      <c r="J331" s="29">
        <v>2964.0</v>
      </c>
      <c r="K331" s="26" t="s">
        <v>31</v>
      </c>
      <c r="L331" s="27">
        <v>6.0</v>
      </c>
      <c r="M331" s="27">
        <v>3.0</v>
      </c>
      <c r="N331" s="27">
        <v>1.0</v>
      </c>
      <c r="O331" s="30"/>
      <c r="P331" s="27">
        <v>923.0</v>
      </c>
      <c r="Q331" s="32">
        <v>179.0</v>
      </c>
      <c r="R331" s="33">
        <v>45597.0</v>
      </c>
      <c r="S331" s="33">
        <v>44503.0</v>
      </c>
      <c r="T331" s="34"/>
      <c r="U331" s="35"/>
      <c r="V331" s="1"/>
    </row>
    <row r="332" ht="24.0" customHeight="1">
      <c r="A332" s="1"/>
      <c r="B332" s="25" t="str">
        <f>HYPERLINK("https://www.compass.com/listing/175-10-93rd-avenue-queens-ny-11433/500847805957831721/view?agent_id=610d3f3370540700019b0833","175-10 93rd Avenue")</f>
        <v>175-10 93rd Avenue</v>
      </c>
      <c r="C332" s="26" t="s">
        <v>53</v>
      </c>
      <c r="D332" s="27" t="s">
        <v>23</v>
      </c>
      <c r="E332" s="28" t="str">
        <f>HYPERLINK("https://www.compass.com/building/175-10-93rd-ave-queens-ny-11433/293527655628746213/","175-10 93rd Ave")</f>
        <v>175-10 93rd Ave</v>
      </c>
      <c r="F332" s="26" t="s">
        <v>30</v>
      </c>
      <c r="G332" s="29">
        <v>389999.0</v>
      </c>
      <c r="H332" s="29">
        <v>307.0</v>
      </c>
      <c r="I332" s="29">
        <v>258.0</v>
      </c>
      <c r="J332" s="29">
        <v>3094.0</v>
      </c>
      <c r="K332" s="26" t="s">
        <v>25</v>
      </c>
      <c r="L332" s="27">
        <v>6.0</v>
      </c>
      <c r="M332" s="27">
        <v>3.0</v>
      </c>
      <c r="N332" s="27">
        <v>1.0</v>
      </c>
      <c r="O332" s="30"/>
      <c r="P332" s="31">
        <v>1272.0</v>
      </c>
      <c r="Q332" s="32">
        <v>730.0</v>
      </c>
      <c r="R332" s="33">
        <v>45597.0</v>
      </c>
      <c r="S332" s="33">
        <v>42490.0</v>
      </c>
      <c r="T332" s="34"/>
      <c r="U332" s="35"/>
      <c r="V332" s="1"/>
    </row>
    <row r="333" ht="24.0" customHeight="1">
      <c r="A333" s="1"/>
      <c r="B333" s="25" t="str">
        <f>HYPERLINK("https://www.compass.com/listing/160-01-109th-avenue-queens-ny-11433/490778382494293961/view?agent_id=610d3f3370540700019b0833","160-01 109th Avenue")</f>
        <v>160-01 109th Avenue</v>
      </c>
      <c r="C333" s="26" t="s">
        <v>53</v>
      </c>
      <c r="D333" s="27" t="s">
        <v>23</v>
      </c>
      <c r="E333" s="28" t="str">
        <f t="shared" ref="E333:E334" si="17">HYPERLINK("https://www.compass.com/building/160-01-109th-ave-queens-ny-11433/293418277391126853/","160-01 109th Ave")</f>
        <v>160-01 109th Ave</v>
      </c>
      <c r="F333" s="26" t="s">
        <v>46</v>
      </c>
      <c r="G333" s="29">
        <v>399000.0</v>
      </c>
      <c r="H333" s="29">
        <v>320.0</v>
      </c>
      <c r="I333" s="29">
        <v>245.0</v>
      </c>
      <c r="J333" s="29">
        <v>2935.0</v>
      </c>
      <c r="K333" s="26" t="s">
        <v>25</v>
      </c>
      <c r="L333" s="27">
        <v>7.0</v>
      </c>
      <c r="M333" s="27">
        <v>3.0</v>
      </c>
      <c r="N333" s="27">
        <v>1.0</v>
      </c>
      <c r="O333" s="30"/>
      <c r="P333" s="31">
        <v>1248.0</v>
      </c>
      <c r="Q333" s="32">
        <v>68.0</v>
      </c>
      <c r="R333" s="33">
        <v>45597.0</v>
      </c>
      <c r="S333" s="33">
        <v>42767.0</v>
      </c>
      <c r="T333" s="34"/>
      <c r="U333" s="35"/>
      <c r="V333" s="1"/>
    </row>
    <row r="334" ht="24.0" customHeight="1">
      <c r="A334" s="1"/>
      <c r="B334" s="25" t="str">
        <f>HYPERLINK("https://www.compass.com/listing/160-01-109th-avenue-queens-ny-11433/1730515795663810745/view?agent_id=610d3f3370540700019b0833","160-01 109th Avenue")</f>
        <v>160-01 109th Avenue</v>
      </c>
      <c r="C334" s="26" t="s">
        <v>53</v>
      </c>
      <c r="D334" s="27" t="s">
        <v>23</v>
      </c>
      <c r="E334" s="28" t="str">
        <f t="shared" si="17"/>
        <v>160-01 109th Ave</v>
      </c>
      <c r="F334" s="26" t="s">
        <v>46</v>
      </c>
      <c r="G334" s="29">
        <v>199000.0</v>
      </c>
      <c r="H334" s="29">
        <v>159.0</v>
      </c>
      <c r="I334" s="29">
        <v>166.0</v>
      </c>
      <c r="J334" s="29">
        <v>1989.0</v>
      </c>
      <c r="K334" s="26" t="s">
        <v>25</v>
      </c>
      <c r="L334" s="27">
        <v>7.0</v>
      </c>
      <c r="M334" s="27">
        <v>3.0</v>
      </c>
      <c r="N334" s="27">
        <v>1.0</v>
      </c>
      <c r="O334" s="30"/>
      <c r="P334" s="31">
        <v>1248.0</v>
      </c>
      <c r="Q334" s="32">
        <v>404.0</v>
      </c>
      <c r="R334" s="33">
        <v>45597.0</v>
      </c>
      <c r="S334" s="33">
        <v>41158.0</v>
      </c>
      <c r="T334" s="34"/>
      <c r="U334" s="35"/>
      <c r="V334" s="1"/>
    </row>
    <row r="335" ht="24.0" customHeight="1">
      <c r="A335" s="1"/>
      <c r="B335" s="25" t="str">
        <f>HYPERLINK("https://www.compass.com/listing/109-41-164th-street-queens-ny-11433/1663936572285681393/view?agent_id=610d3f3370540700019b0833","109-41 164th Street")</f>
        <v>109-41 164th Street</v>
      </c>
      <c r="C335" s="26" t="s">
        <v>54</v>
      </c>
      <c r="D335" s="27" t="s">
        <v>23</v>
      </c>
      <c r="E335" s="28" t="str">
        <f>HYPERLINK("https://www.compass.com/building/109-41-164th-st-queens-ny-11433/293531641811355829/","109-41 164th St")</f>
        <v>109-41 164th St</v>
      </c>
      <c r="F335" s="26" t="s">
        <v>24</v>
      </c>
      <c r="G335" s="29">
        <v>645000.0</v>
      </c>
      <c r="H335" s="29">
        <v>602.0</v>
      </c>
      <c r="I335" s="29">
        <v>251.0</v>
      </c>
      <c r="J335" s="29">
        <v>3012.0</v>
      </c>
      <c r="K335" s="26" t="s">
        <v>32</v>
      </c>
      <c r="L335" s="27">
        <v>6.0</v>
      </c>
      <c r="M335" s="27">
        <v>3.0</v>
      </c>
      <c r="N335" s="27">
        <v>1.0</v>
      </c>
      <c r="O335" s="27">
        <v>1.0</v>
      </c>
      <c r="P335" s="31">
        <v>1072.0</v>
      </c>
      <c r="Q335" s="32">
        <v>204.0</v>
      </c>
      <c r="R335" s="33">
        <v>45817.0</v>
      </c>
      <c r="S335" s="33">
        <v>45547.0</v>
      </c>
      <c r="T335" s="34"/>
      <c r="U335" s="35"/>
      <c r="V335" s="1"/>
    </row>
    <row r="336" ht="24.0" customHeight="1">
      <c r="A336" s="1"/>
      <c r="B336" s="25" t="str">
        <f>HYPERLINK("https://www.compass.com/listing/108-05-160th-street-queens-ny-11433/334768643530943137/view?agent_id=610d3f3370540700019b0833","108-05 160th Street")</f>
        <v>108-05 160th Street</v>
      </c>
      <c r="C336" s="26" t="s">
        <v>53</v>
      </c>
      <c r="D336" s="27" t="s">
        <v>23</v>
      </c>
      <c r="E336" s="28" t="str">
        <f>HYPERLINK("https://www.compass.com/building/108-05-160th-st-queens-ny-11433/293528240440528213/","108-05 160th St")</f>
        <v>108-05 160th St</v>
      </c>
      <c r="F336" s="26" t="s">
        <v>46</v>
      </c>
      <c r="G336" s="29">
        <v>519000.0</v>
      </c>
      <c r="H336" s="29">
        <v>452.0</v>
      </c>
      <c r="I336" s="29">
        <v>244.0</v>
      </c>
      <c r="J336" s="29">
        <v>2923.0</v>
      </c>
      <c r="K336" s="26" t="s">
        <v>25</v>
      </c>
      <c r="L336" s="27">
        <v>6.0</v>
      </c>
      <c r="M336" s="27">
        <v>3.0</v>
      </c>
      <c r="N336" s="27">
        <v>1.0</v>
      </c>
      <c r="O336" s="30"/>
      <c r="P336" s="31">
        <v>1149.0</v>
      </c>
      <c r="Q336" s="32">
        <v>366.0</v>
      </c>
      <c r="R336" s="33">
        <v>45637.0</v>
      </c>
      <c r="S336" s="33">
        <v>43713.0</v>
      </c>
      <c r="T336" s="34"/>
      <c r="U336" s="35"/>
      <c r="V336" s="1"/>
    </row>
    <row r="337" ht="24.0" customHeight="1">
      <c r="A337" s="1"/>
      <c r="B337" s="25" t="str">
        <f>HYPERLINK("https://www.compass.com/listing/90-43-170th-street-queens-ny-11432/197774944149455873/view?agent_id=610d3f3370540700019b0833","90-43 170th Street")</f>
        <v>90-43 170th Street</v>
      </c>
      <c r="C337" s="26" t="s">
        <v>54</v>
      </c>
      <c r="D337" s="27" t="s">
        <v>23</v>
      </c>
      <c r="E337" s="28" t="str">
        <f>HYPERLINK("https://www.compass.com/building/90-43-170th-st-queens-ny-11432/293533669119849941/","90-43 170th St")</f>
        <v>90-43 170th St</v>
      </c>
      <c r="F337" s="26" t="s">
        <v>24</v>
      </c>
      <c r="G337" s="29">
        <v>789000.0</v>
      </c>
      <c r="H337" s="29">
        <v>564.0</v>
      </c>
      <c r="I337" s="29">
        <v>414.0</v>
      </c>
      <c r="J337" s="29">
        <v>4966.0</v>
      </c>
      <c r="K337" s="26" t="s">
        <v>25</v>
      </c>
      <c r="L337" s="27">
        <v>4.0</v>
      </c>
      <c r="M337" s="27">
        <v>3.0</v>
      </c>
      <c r="N337" s="27">
        <v>1.0</v>
      </c>
      <c r="O337" s="30"/>
      <c r="P337" s="31">
        <v>1398.0</v>
      </c>
      <c r="Q337" s="32">
        <v>38.0</v>
      </c>
      <c r="R337" s="33">
        <v>45597.0</v>
      </c>
      <c r="S337" s="33">
        <v>43323.0</v>
      </c>
      <c r="T337" s="34"/>
      <c r="U337" s="35"/>
      <c r="V337" s="1"/>
    </row>
    <row r="338" ht="24.0" customHeight="1">
      <c r="A338" s="1"/>
      <c r="B338" s="25" t="str">
        <f>HYPERLINK("https://www.compass.com/listing/106-38-guy-r-brewer-boulevard-unit-1-queens-ny-11433/695352135979474809/view?agent_id=610d3f3370540700019b0833","106-38 Guy R Brewer Boulevard, Unit 1")</f>
        <v>106-38 Guy R Brewer Boulevard, Unit 1</v>
      </c>
      <c r="C338" s="26" t="s">
        <v>54</v>
      </c>
      <c r="D338" s="27" t="s">
        <v>23</v>
      </c>
      <c r="E338" s="28" t="str">
        <f>HYPERLINK("https://www.compass.com/building/106-38-guy-r-brewer-blvd-queens-ny-11433/293530796902404837/","106-38 Guy R Brewer Blvd")</f>
        <v>106-38 Guy R Brewer Blvd</v>
      </c>
      <c r="F338" s="26" t="s">
        <v>46</v>
      </c>
      <c r="G338" s="29">
        <v>525000.0</v>
      </c>
      <c r="H338" s="34"/>
      <c r="I338" s="29">
        <v>0.0</v>
      </c>
      <c r="J338" s="29">
        <v>0.0</v>
      </c>
      <c r="K338" s="26" t="s">
        <v>58</v>
      </c>
      <c r="L338" s="27">
        <v>15.0</v>
      </c>
      <c r="M338" s="27">
        <v>3.0</v>
      </c>
      <c r="N338" s="30"/>
      <c r="O338" s="30"/>
      <c r="P338" s="30"/>
      <c r="Q338" s="32">
        <v>128.0</v>
      </c>
      <c r="R338" s="33">
        <v>44338.0</v>
      </c>
      <c r="S338" s="33">
        <v>44209.0</v>
      </c>
      <c r="T338" s="34"/>
      <c r="U338" s="35"/>
      <c r="V338" s="1"/>
    </row>
    <row r="339" ht="24.0" customHeight="1">
      <c r="A339" s="1"/>
      <c r="B339" s="25" t="str">
        <f>HYPERLINK("https://www.compass.com/listing/89-20-183rd-street-queens-ny-11423/750541173979547793/view?agent_id=610d3f3370540700019b0833","89-20 183rd Street")</f>
        <v>89-20 183rd Street</v>
      </c>
      <c r="C339" s="26" t="s">
        <v>54</v>
      </c>
      <c r="D339" s="27" t="s">
        <v>23</v>
      </c>
      <c r="E339" s="28" t="str">
        <f>HYPERLINK("https://www.compass.com/building/89-20-183rd-st-queens-ny-11423/293532270118090805/","89-20 183rd St")</f>
        <v>89-20 183rd St</v>
      </c>
      <c r="F339" s="26" t="s">
        <v>24</v>
      </c>
      <c r="G339" s="29">
        <v>730000.0</v>
      </c>
      <c r="H339" s="29">
        <v>437.0</v>
      </c>
      <c r="I339" s="29">
        <v>525.0</v>
      </c>
      <c r="J339" s="29">
        <v>6300.0</v>
      </c>
      <c r="K339" s="26" t="s">
        <v>32</v>
      </c>
      <c r="L339" s="30"/>
      <c r="M339" s="27">
        <v>3.0</v>
      </c>
      <c r="N339" s="30"/>
      <c r="O339" s="30"/>
      <c r="P339" s="31">
        <v>1672.0</v>
      </c>
      <c r="Q339" s="32">
        <v>19.0</v>
      </c>
      <c r="R339" s="33">
        <v>44396.0</v>
      </c>
      <c r="S339" s="33">
        <v>44286.0</v>
      </c>
      <c r="T339" s="29">
        <v>730000.0</v>
      </c>
      <c r="U339" s="33">
        <v>44420.0</v>
      </c>
      <c r="V339" s="1"/>
    </row>
    <row r="340" ht="24.0" customHeight="1">
      <c r="A340" s="1"/>
      <c r="B340" s="25" t="str">
        <f>HYPERLINK("https://www.compass.com/listing/90-09-182nd-place-queens-ny-11423/756974544522343753/view?agent_id=610d3f3370540700019b0833","90-09 182nd Place")</f>
        <v>90-09 182nd Place</v>
      </c>
      <c r="C340" s="26" t="s">
        <v>54</v>
      </c>
      <c r="D340" s="27" t="s">
        <v>23</v>
      </c>
      <c r="E340" s="28" t="str">
        <f>HYPERLINK("https://www.compass.com/building/90-09-182nd-pl-queens-ny-11423/293529156023535765/","90-09 182nd Pl")</f>
        <v>90-09 182nd Pl</v>
      </c>
      <c r="F340" s="26" t="s">
        <v>24</v>
      </c>
      <c r="G340" s="29">
        <v>780000.0</v>
      </c>
      <c r="H340" s="29">
        <v>312.0</v>
      </c>
      <c r="I340" s="29">
        <v>0.0</v>
      </c>
      <c r="J340" s="29">
        <v>0.0</v>
      </c>
      <c r="K340" s="26" t="s">
        <v>39</v>
      </c>
      <c r="L340" s="27">
        <v>7.0</v>
      </c>
      <c r="M340" s="27">
        <v>3.0</v>
      </c>
      <c r="N340" s="30"/>
      <c r="O340" s="30"/>
      <c r="P340" s="31">
        <v>2500.0</v>
      </c>
      <c r="Q340" s="32">
        <v>10.0</v>
      </c>
      <c r="R340" s="33">
        <v>44305.0</v>
      </c>
      <c r="S340" s="33">
        <v>44294.0</v>
      </c>
      <c r="T340" s="34"/>
      <c r="U340" s="35"/>
      <c r="V340" s="1"/>
    </row>
    <row r="341" ht="24.0" customHeight="1">
      <c r="A341" s="1"/>
      <c r="B341" s="25" t="str">
        <f>HYPERLINK("https://www.compass.com/listing/155-09-linden-boulevard-queens-ny-11434/1730524114495396529/view?agent_id=610d3f3370540700019b0833","155-09 Linden Boulevard")</f>
        <v>155-09 Linden Boulevard</v>
      </c>
      <c r="C341" s="26" t="s">
        <v>53</v>
      </c>
      <c r="D341" s="27" t="s">
        <v>23</v>
      </c>
      <c r="E341" s="28" t="str">
        <f>HYPERLINK("https://www.compass.com/building/155-09-linden-blvd-queens-ny-11434/293535044843207589/","155-09 Linden Blvd")</f>
        <v>155-09 Linden Blvd</v>
      </c>
      <c r="F341" s="26" t="s">
        <v>24</v>
      </c>
      <c r="G341" s="29">
        <v>199000.0</v>
      </c>
      <c r="H341" s="29">
        <v>173.0</v>
      </c>
      <c r="I341" s="29">
        <v>224.0</v>
      </c>
      <c r="J341" s="29">
        <v>2688.0</v>
      </c>
      <c r="K341" s="26" t="s">
        <v>25</v>
      </c>
      <c r="L341" s="27">
        <v>6.0</v>
      </c>
      <c r="M341" s="27">
        <v>3.0</v>
      </c>
      <c r="N341" s="27">
        <v>1.0</v>
      </c>
      <c r="O341" s="30"/>
      <c r="P341" s="31">
        <v>1152.0</v>
      </c>
      <c r="Q341" s="32">
        <v>1.0</v>
      </c>
      <c r="R341" s="33">
        <v>45597.0</v>
      </c>
      <c r="S341" s="33">
        <v>41927.0</v>
      </c>
      <c r="T341" s="34"/>
      <c r="U341" s="35"/>
      <c r="V341" s="1"/>
    </row>
    <row r="342" ht="24.0" customHeight="1">
      <c r="A342" s="1"/>
      <c r="B342" s="25" t="str">
        <f>HYPERLINK("https://www.compass.com/listing/150-37-linden-boulevard-queens-ny-11434/1417498952819018337/view?agent_id=610d3f3370540700019b0833","150-37 Linden Boulevard")</f>
        <v>150-37 Linden Boulevard</v>
      </c>
      <c r="C342" s="26" t="s">
        <v>53</v>
      </c>
      <c r="D342" s="27" t="s">
        <v>23</v>
      </c>
      <c r="E342" s="28" t="str">
        <f>HYPERLINK("https://www.compass.com/building/150-37-linden-blvd-queens-ny-11434/293417943541308965/","150-37 Linden Blvd")</f>
        <v>150-37 Linden Blvd</v>
      </c>
      <c r="F342" s="26" t="s">
        <v>24</v>
      </c>
      <c r="G342" s="29">
        <v>500000.0</v>
      </c>
      <c r="H342" s="29">
        <v>381.0</v>
      </c>
      <c r="I342" s="29">
        <v>417.0</v>
      </c>
      <c r="J342" s="29">
        <v>5000.0</v>
      </c>
      <c r="K342" s="26" t="s">
        <v>25</v>
      </c>
      <c r="L342" s="27">
        <v>7.0</v>
      </c>
      <c r="M342" s="27">
        <v>3.0</v>
      </c>
      <c r="N342" s="27">
        <v>1.0</v>
      </c>
      <c r="O342" s="30"/>
      <c r="P342" s="31">
        <v>1312.0</v>
      </c>
      <c r="Q342" s="32">
        <v>366.0</v>
      </c>
      <c r="R342" s="33">
        <v>45597.0</v>
      </c>
      <c r="S342" s="33">
        <v>45207.0</v>
      </c>
      <c r="T342" s="34"/>
      <c r="U342" s="35"/>
      <c r="V342" s="1"/>
    </row>
    <row r="343" ht="24.0" customHeight="1">
      <c r="A343" s="1"/>
      <c r="B343" s="25" t="str">
        <f>HYPERLINK("https://www.compass.com/listing/145-06-109th-avenue-unit-1-queens-ny-11435/99961158118750785/view?agent_id=610d3f3370540700019b0833","145-06 109th Avenue, Unit 1")</f>
        <v>145-06 109th Avenue, Unit 1</v>
      </c>
      <c r="C343" s="26" t="s">
        <v>54</v>
      </c>
      <c r="D343" s="27" t="s">
        <v>23</v>
      </c>
      <c r="E343" s="28" t="str">
        <f>HYPERLINK("https://www.compass.com/building/145-06-109th-ave-queens-ny-11435/293531768269672389/","145-06 109th Ave")</f>
        <v>145-06 109th Ave</v>
      </c>
      <c r="F343" s="26" t="s">
        <v>24</v>
      </c>
      <c r="G343" s="29">
        <v>619000.0</v>
      </c>
      <c r="H343" s="34"/>
      <c r="I343" s="29">
        <v>0.0</v>
      </c>
      <c r="J343" s="29">
        <v>0.0</v>
      </c>
      <c r="K343" s="26" t="s">
        <v>44</v>
      </c>
      <c r="L343" s="27">
        <v>6.0</v>
      </c>
      <c r="M343" s="27">
        <v>3.0</v>
      </c>
      <c r="N343" s="30"/>
      <c r="O343" s="30"/>
      <c r="P343" s="30"/>
      <c r="Q343" s="32">
        <v>87.0</v>
      </c>
      <c r="R343" s="33">
        <v>43602.0</v>
      </c>
      <c r="S343" s="33">
        <v>43389.0</v>
      </c>
      <c r="T343" s="34"/>
      <c r="U343" s="35"/>
      <c r="V343" s="1"/>
    </row>
    <row r="344" ht="24.0" customHeight="1">
      <c r="A344" s="1"/>
      <c r="B344" s="25" t="str">
        <f>HYPERLINK("https://www.compass.com/listing/111-20-145th-street-queens-ny-11435/1465470544596025113/view?agent_id=610d3f3370540700019b0833","111-20 145th Street")</f>
        <v>111-20 145th Street</v>
      </c>
      <c r="C344" s="26" t="s">
        <v>53</v>
      </c>
      <c r="D344" s="27" t="s">
        <v>23</v>
      </c>
      <c r="E344" s="28" t="str">
        <f>HYPERLINK("https://www.compass.com/building/111-20-145th-st-queens-ny-11435/293531954136006309/","111-20 145th St")</f>
        <v>111-20 145th St</v>
      </c>
      <c r="F344" s="26" t="s">
        <v>24</v>
      </c>
      <c r="G344" s="29">
        <v>565000.0</v>
      </c>
      <c r="H344" s="29">
        <v>422.0</v>
      </c>
      <c r="I344" s="29">
        <v>381.0</v>
      </c>
      <c r="J344" s="29">
        <v>4570.0</v>
      </c>
      <c r="K344" s="26" t="s">
        <v>25</v>
      </c>
      <c r="L344" s="27">
        <v>9.0</v>
      </c>
      <c r="M344" s="27">
        <v>3.0</v>
      </c>
      <c r="N344" s="27">
        <v>1.0</v>
      </c>
      <c r="O344" s="30"/>
      <c r="P344" s="31">
        <v>1340.0</v>
      </c>
      <c r="Q344" s="32">
        <v>203.0</v>
      </c>
      <c r="R344" s="33">
        <v>45772.0</v>
      </c>
      <c r="S344" s="33">
        <v>45278.0</v>
      </c>
      <c r="T344" s="34"/>
      <c r="U344" s="35"/>
      <c r="V344" s="1"/>
    </row>
    <row r="345" ht="24.0" customHeight="1">
      <c r="A345" s="1"/>
      <c r="B345" s="25" t="str">
        <f>HYPERLINK("https://www.compass.com/listing/109-83-142nd-street-queens-ny-11435/641569877628457889/view?agent_id=610d3f3370540700019b0833","109-83 142nd St")</f>
        <v>109-83 142nd St</v>
      </c>
      <c r="C345" s="26" t="s">
        <v>53</v>
      </c>
      <c r="D345" s="27" t="s">
        <v>23</v>
      </c>
      <c r="E345" s="28" t="str">
        <f>HYPERLINK("https://www.compass.com/building/109-83-142nd-st-queens-ny-11435/293526392153392629/","109-83 142nd St")</f>
        <v>109-83 142nd St</v>
      </c>
      <c r="F345" s="26" t="s">
        <v>24</v>
      </c>
      <c r="G345" s="29">
        <v>2300.0</v>
      </c>
      <c r="H345" s="34"/>
      <c r="I345" s="29">
        <v>0.0</v>
      </c>
      <c r="J345" s="29">
        <v>0.0</v>
      </c>
      <c r="K345" s="49"/>
      <c r="L345" s="30"/>
      <c r="M345" s="27">
        <v>3.0</v>
      </c>
      <c r="N345" s="27">
        <v>1.0</v>
      </c>
      <c r="O345" s="27">
        <v>0.0</v>
      </c>
      <c r="P345" s="30"/>
      <c r="Q345" s="32">
        <v>30.0</v>
      </c>
      <c r="R345" s="33">
        <v>43617.0</v>
      </c>
      <c r="S345" s="33">
        <v>43586.0</v>
      </c>
      <c r="T345" s="34"/>
      <c r="U345" s="35"/>
      <c r="V345" s="1"/>
    </row>
    <row r="346" ht="24.0" customHeight="1">
      <c r="A346" s="1"/>
      <c r="B346" s="25" t="str">
        <f>HYPERLINK("https://www.compass.com/listing/109-15-pinegrove-street-queens-ny-11435/841531876799420985/view?agent_id=610d3f3370540700019b0833","109-15 Pinegrove Street")</f>
        <v>109-15 Pinegrove Street</v>
      </c>
      <c r="C346" s="26" t="s">
        <v>53</v>
      </c>
      <c r="D346" s="27" t="s">
        <v>23</v>
      </c>
      <c r="E346" s="28" t="str">
        <f>HYPERLINK("https://www.compass.com/building/109-15-pinegrove-st-queens-ny-11435/293529605166453493/","109-15 Pinegrove St")</f>
        <v>109-15 Pinegrove St</v>
      </c>
      <c r="F346" s="26" t="s">
        <v>24</v>
      </c>
      <c r="G346" s="29">
        <v>619999.0</v>
      </c>
      <c r="H346" s="29">
        <v>261.0</v>
      </c>
      <c r="I346" s="29">
        <v>319.0</v>
      </c>
      <c r="J346" s="29">
        <v>3822.0</v>
      </c>
      <c r="K346" s="26" t="s">
        <v>32</v>
      </c>
      <c r="L346" s="27">
        <v>6.0</v>
      </c>
      <c r="M346" s="27">
        <v>3.0</v>
      </c>
      <c r="N346" s="27">
        <v>1.0</v>
      </c>
      <c r="O346" s="30"/>
      <c r="P346" s="31">
        <v>2375.0</v>
      </c>
      <c r="Q346" s="32">
        <v>92.0</v>
      </c>
      <c r="R346" s="33">
        <v>45597.0</v>
      </c>
      <c r="S346" s="33">
        <v>43633.0</v>
      </c>
      <c r="T346" s="34"/>
      <c r="U346" s="35"/>
      <c r="V346" s="1"/>
    </row>
    <row r="347" ht="24.0" customHeight="1">
      <c r="A347" s="1"/>
      <c r="B347" s="25" t="str">
        <f>HYPERLINK("https://www.compass.com/listing/143-37-glassboro-avenue-queens-ny-11435/500855162462657513/view?agent_id=610d3f3370540700019b0833","143-37 Glassboro Avenue")</f>
        <v>143-37 Glassboro Avenue</v>
      </c>
      <c r="C347" s="26" t="s">
        <v>53</v>
      </c>
      <c r="D347" s="27" t="s">
        <v>23</v>
      </c>
      <c r="E347" s="28" t="str">
        <f>HYPERLINK("https://www.compass.com/building/143-37-glassboro-ave-queens-ny-11435/293530681819047013/","143-37 Glassboro Ave")</f>
        <v>143-37 Glassboro Ave</v>
      </c>
      <c r="F347" s="26" t="s">
        <v>24</v>
      </c>
      <c r="G347" s="29">
        <v>409000.0</v>
      </c>
      <c r="H347" s="34"/>
      <c r="I347" s="29">
        <v>318.0</v>
      </c>
      <c r="J347" s="29">
        <v>3820.0</v>
      </c>
      <c r="K347" s="26" t="s">
        <v>56</v>
      </c>
      <c r="L347" s="27">
        <v>6.0</v>
      </c>
      <c r="M347" s="27">
        <v>3.0</v>
      </c>
      <c r="N347" s="27">
        <v>1.0</v>
      </c>
      <c r="O347" s="30"/>
      <c r="P347" s="30"/>
      <c r="Q347" s="32">
        <v>133.0</v>
      </c>
      <c r="R347" s="33">
        <v>45597.0</v>
      </c>
      <c r="S347" s="33">
        <v>42967.0</v>
      </c>
      <c r="T347" s="34"/>
      <c r="U347" s="35"/>
      <c r="V347" s="1"/>
    </row>
    <row r="348" ht="24.0" customHeight="1">
      <c r="A348" s="1"/>
      <c r="B348" s="25" t="str">
        <f>HYPERLINK("https://www.compass.com/listing/107-67-remington-street-queens-ny-11435/921135109708303097/view?agent_id=610d3f3370540700019b0833","107-67 Remington Street")</f>
        <v>107-67 Remington Street</v>
      </c>
      <c r="C348" s="26" t="s">
        <v>53</v>
      </c>
      <c r="D348" s="27" t="s">
        <v>23</v>
      </c>
      <c r="E348" s="28" t="str">
        <f>HYPERLINK("https://www.compass.com/building/107-67-remington-st-queens-ny-11435/293418393816535429/","107-67 Remington St")</f>
        <v>107-67 Remington St</v>
      </c>
      <c r="F348" s="26" t="s">
        <v>24</v>
      </c>
      <c r="G348" s="29">
        <v>467250.0</v>
      </c>
      <c r="H348" s="29">
        <v>425.0</v>
      </c>
      <c r="I348" s="29">
        <v>173.0</v>
      </c>
      <c r="J348" s="29">
        <v>2072.0</v>
      </c>
      <c r="K348" s="26" t="s">
        <v>25</v>
      </c>
      <c r="L348" s="27">
        <v>5.0</v>
      </c>
      <c r="M348" s="27">
        <v>3.0</v>
      </c>
      <c r="N348" s="27">
        <v>1.0</v>
      </c>
      <c r="O348" s="30"/>
      <c r="P348" s="31">
        <v>1100.0</v>
      </c>
      <c r="Q348" s="32">
        <v>92.0</v>
      </c>
      <c r="R348" s="33">
        <v>45597.0</v>
      </c>
      <c r="S348" s="33">
        <v>44453.0</v>
      </c>
      <c r="T348" s="34"/>
      <c r="U348" s="35"/>
      <c r="V348" s="1"/>
    </row>
    <row r="349" ht="24.0" customHeight="1">
      <c r="A349" s="1"/>
      <c r="B349" s="25" t="str">
        <f>HYPERLINK("https://www.compass.com/listing/143-19-105th-avenue-queens-ny-11435/1727219351274708121/view?agent_id=610d3f3370540700019b0833","143-19 105th Avenue")</f>
        <v>143-19 105th Avenue</v>
      </c>
      <c r="C349" s="26" t="s">
        <v>53</v>
      </c>
      <c r="D349" s="27" t="s">
        <v>23</v>
      </c>
      <c r="E349" s="28" t="str">
        <f>HYPERLINK("https://www.compass.com/building/143-19-105th-ave-queens-ny-11435/293533489561624693/","143-19 105th Ave")</f>
        <v>143-19 105th Ave</v>
      </c>
      <c r="F349" s="26" t="s">
        <v>24</v>
      </c>
      <c r="G349" s="29">
        <v>329672.0</v>
      </c>
      <c r="H349" s="29">
        <v>286.0</v>
      </c>
      <c r="I349" s="29">
        <v>276.0</v>
      </c>
      <c r="J349" s="29">
        <v>3317.0</v>
      </c>
      <c r="K349" s="26" t="s">
        <v>56</v>
      </c>
      <c r="L349" s="27">
        <v>6.0</v>
      </c>
      <c r="M349" s="27">
        <v>3.0</v>
      </c>
      <c r="N349" s="27">
        <v>1.0</v>
      </c>
      <c r="O349" s="30"/>
      <c r="P349" s="31">
        <v>1152.0</v>
      </c>
      <c r="Q349" s="32">
        <v>104.0</v>
      </c>
      <c r="R349" s="33">
        <v>45634.0</v>
      </c>
      <c r="S349" s="33">
        <v>42447.0</v>
      </c>
      <c r="T349" s="34"/>
      <c r="U349" s="35"/>
      <c r="V349" s="1"/>
    </row>
    <row r="350" ht="24.0" customHeight="1">
      <c r="A350" s="1"/>
      <c r="B350" s="25" t="str">
        <f>HYPERLINK("https://www.compass.com/listing/97-27-waltham-street-queens-ny-11435/353414423432837841/view?agent_id=610d3f3370540700019b0833","97-27 Waltham Street")</f>
        <v>97-27 Waltham Street</v>
      </c>
      <c r="C350" s="26" t="s">
        <v>53</v>
      </c>
      <c r="D350" s="27" t="s">
        <v>23</v>
      </c>
      <c r="E350" s="28" t="str">
        <f>HYPERLINK("https://www.compass.com/building/97-27-waltham-st-queens-ny-11435/293532369598632581/","97-27 Waltham St")</f>
        <v>97-27 Waltham St</v>
      </c>
      <c r="F350" s="26" t="s">
        <v>24</v>
      </c>
      <c r="G350" s="29">
        <v>319990.0</v>
      </c>
      <c r="H350" s="29">
        <v>156.0</v>
      </c>
      <c r="I350" s="29">
        <v>393.0</v>
      </c>
      <c r="J350" s="29">
        <v>4711.0</v>
      </c>
      <c r="K350" s="26" t="s">
        <v>59</v>
      </c>
      <c r="L350" s="27">
        <v>6.0</v>
      </c>
      <c r="M350" s="27">
        <v>3.0</v>
      </c>
      <c r="N350" s="27">
        <v>1.0</v>
      </c>
      <c r="O350" s="27">
        <v>0.0</v>
      </c>
      <c r="P350" s="31">
        <v>2052.0</v>
      </c>
      <c r="Q350" s="32">
        <v>1.0</v>
      </c>
      <c r="R350" s="33">
        <v>45556.0</v>
      </c>
      <c r="S350" s="33">
        <v>43583.0</v>
      </c>
      <c r="T350" s="34"/>
      <c r="U350" s="35"/>
      <c r="V350" s="1"/>
    </row>
    <row r="351" ht="24.0" customHeight="1">
      <c r="A351" s="1"/>
      <c r="B351" s="25" t="str">
        <f>HYPERLINK("https://www.compass.com/listing/107-35-van-wyck-expressway-queens-ny-11435/1706718751697716169/view?agent_id=610d3f3370540700019b0833","107-35 Van Wyck Expressway")</f>
        <v>107-35 Van Wyck Expressway</v>
      </c>
      <c r="C351" s="26" t="s">
        <v>54</v>
      </c>
      <c r="D351" s="27" t="s">
        <v>23</v>
      </c>
      <c r="E351" s="28" t="str">
        <f>HYPERLINK("https://www.compass.com/building/107-35-van-wyck-expy-queens-ny-11435/293531324847796117/","107-35 Van Wyck Expy")</f>
        <v>107-35 Van Wyck Expy</v>
      </c>
      <c r="F351" s="26" t="s">
        <v>24</v>
      </c>
      <c r="G351" s="29">
        <v>825000.0</v>
      </c>
      <c r="H351" s="29">
        <v>645.0</v>
      </c>
      <c r="I351" s="29">
        <v>38135.0</v>
      </c>
      <c r="J351" s="29">
        <v>457620.0</v>
      </c>
      <c r="K351" s="26" t="s">
        <v>25</v>
      </c>
      <c r="L351" s="27">
        <v>7.0</v>
      </c>
      <c r="M351" s="27">
        <v>3.0</v>
      </c>
      <c r="N351" s="27">
        <v>1.0</v>
      </c>
      <c r="O351" s="30"/>
      <c r="P351" s="31">
        <v>1280.0</v>
      </c>
      <c r="Q351" s="32">
        <v>219.0</v>
      </c>
      <c r="R351" s="33">
        <v>45825.0</v>
      </c>
      <c r="S351" s="33">
        <v>45606.0</v>
      </c>
      <c r="T351" s="34"/>
      <c r="U351" s="35"/>
      <c r="V351" s="1"/>
    </row>
    <row r="352" ht="24.0" customHeight="1">
      <c r="A352" s="1"/>
      <c r="B352" s="25" t="str">
        <f>HYPERLINK("https://www.compass.com/listing/111-20-145th-street-queens-ny-11435/1456237089371449113/view?agent_id=610d3f3370540700019b0833","111-20 145th Street")</f>
        <v>111-20 145th Street</v>
      </c>
      <c r="C352" s="26" t="s">
        <v>53</v>
      </c>
      <c r="D352" s="27" t="s">
        <v>23</v>
      </c>
      <c r="E352" s="28" t="str">
        <f>HYPERLINK("https://www.compass.com/building/111-20-145th-st-queens-ny-11435/293531954136006309/","111-20 145th St")</f>
        <v>111-20 145th St</v>
      </c>
      <c r="F352" s="26" t="s">
        <v>24</v>
      </c>
      <c r="G352" s="29">
        <v>617000.0</v>
      </c>
      <c r="H352" s="29">
        <v>309.0</v>
      </c>
      <c r="I352" s="29">
        <v>363.0</v>
      </c>
      <c r="J352" s="29">
        <v>4360.0</v>
      </c>
      <c r="K352" s="26" t="s">
        <v>25</v>
      </c>
      <c r="L352" s="27">
        <v>9.0</v>
      </c>
      <c r="M352" s="27">
        <v>3.0</v>
      </c>
      <c r="N352" s="27">
        <v>1.0</v>
      </c>
      <c r="O352" s="30"/>
      <c r="P352" s="31">
        <v>2000.0</v>
      </c>
      <c r="Q352" s="32">
        <v>350.0</v>
      </c>
      <c r="R352" s="33">
        <v>45597.0</v>
      </c>
      <c r="S352" s="33">
        <v>44910.0</v>
      </c>
      <c r="T352" s="34"/>
      <c r="U352" s="35"/>
      <c r="V352" s="1"/>
    </row>
    <row r="353" ht="24.0" customHeight="1">
      <c r="A353" s="1"/>
      <c r="B353" s="25" t="str">
        <f>HYPERLINK("https://www.compass.com/listing/109-28-liverpool-street-queens-ny-11435/618392750968651545/view?agent_id=610d3f3370540700019b0833","109-28 Liverpool Street")</f>
        <v>109-28 Liverpool Street</v>
      </c>
      <c r="C353" s="26" t="s">
        <v>54</v>
      </c>
      <c r="D353" s="27" t="s">
        <v>23</v>
      </c>
      <c r="E353" s="28" t="str">
        <f>HYPERLINK("https://www.compass.com/building/109-28-liverpool-st-queens-ny-11435/293528331431800997/","109-28 Liverpool St")</f>
        <v>109-28 Liverpool St</v>
      </c>
      <c r="F353" s="26" t="s">
        <v>24</v>
      </c>
      <c r="G353" s="29">
        <v>780000.0</v>
      </c>
      <c r="H353" s="29">
        <v>345.0</v>
      </c>
      <c r="I353" s="29">
        <v>546.0</v>
      </c>
      <c r="J353" s="29">
        <v>6552.0</v>
      </c>
      <c r="K353" s="26" t="s">
        <v>44</v>
      </c>
      <c r="L353" s="30"/>
      <c r="M353" s="27">
        <v>3.0</v>
      </c>
      <c r="N353" s="30"/>
      <c r="O353" s="30"/>
      <c r="P353" s="31">
        <v>2260.0</v>
      </c>
      <c r="Q353" s="32">
        <v>0.0</v>
      </c>
      <c r="R353" s="33">
        <v>44245.0</v>
      </c>
      <c r="S353" s="33">
        <v>44104.0</v>
      </c>
      <c r="T353" s="34"/>
      <c r="U353" s="35"/>
      <c r="V353" s="1"/>
    </row>
    <row r="354" ht="24.0" customHeight="1">
      <c r="A354" s="1"/>
      <c r="B354" s="25" t="str">
        <f>HYPERLINK("https://www.compass.com/listing/143-14-lakewood-avenue-queens-ny-11435/196597488352873201/view?agent_id=610d3f3370540700019b0833","143-14 Lakewood Avenue")</f>
        <v>143-14 Lakewood Avenue</v>
      </c>
      <c r="C354" s="26" t="s">
        <v>53</v>
      </c>
      <c r="D354" s="27" t="s">
        <v>23</v>
      </c>
      <c r="E354" s="28" t="str">
        <f t="shared" ref="E354:E355" si="18">HYPERLINK("https://www.compass.com/building/143-14-lakewood-ave-queens-ny-11435/293531222640952661/","143-14 Lakewood Ave")</f>
        <v>143-14 Lakewood Ave</v>
      </c>
      <c r="F354" s="26" t="s">
        <v>24</v>
      </c>
      <c r="G354" s="29">
        <v>695888.0</v>
      </c>
      <c r="H354" s="29">
        <v>458.0</v>
      </c>
      <c r="I354" s="29">
        <v>331.0</v>
      </c>
      <c r="J354" s="29">
        <v>3972.0</v>
      </c>
      <c r="K354" s="26" t="s">
        <v>60</v>
      </c>
      <c r="L354" s="27">
        <v>5.0</v>
      </c>
      <c r="M354" s="27">
        <v>3.0</v>
      </c>
      <c r="N354" s="27">
        <v>1.0</v>
      </c>
      <c r="O354" s="30"/>
      <c r="P354" s="31">
        <v>1520.0</v>
      </c>
      <c r="Q354" s="32">
        <v>276.0</v>
      </c>
      <c r="R354" s="33">
        <v>45817.0</v>
      </c>
      <c r="S354" s="33">
        <v>43263.0</v>
      </c>
      <c r="T354" s="34"/>
      <c r="U354" s="35"/>
      <c r="V354" s="1"/>
    </row>
    <row r="355" ht="24.0" customHeight="1">
      <c r="A355" s="1"/>
      <c r="B355" s="25" t="str">
        <f>HYPERLINK("https://www.compass.com/listing/143-14-lakewood-avenue-queens-ny-11435/221250467773096433/view?agent_id=610d3f3370540700019b0833","143-14 Lakewood Avenue")</f>
        <v>143-14 Lakewood Avenue</v>
      </c>
      <c r="C355" s="26" t="s">
        <v>53</v>
      </c>
      <c r="D355" s="27" t="s">
        <v>23</v>
      </c>
      <c r="E355" s="28" t="str">
        <f t="shared" si="18"/>
        <v>143-14 Lakewood Ave</v>
      </c>
      <c r="F355" s="26" t="s">
        <v>24</v>
      </c>
      <c r="G355" s="29">
        <v>699888.0</v>
      </c>
      <c r="H355" s="29">
        <v>398.0</v>
      </c>
      <c r="I355" s="29">
        <v>331.0</v>
      </c>
      <c r="J355" s="29">
        <v>3972.0</v>
      </c>
      <c r="K355" s="26" t="s">
        <v>60</v>
      </c>
      <c r="L355" s="27">
        <v>5.0</v>
      </c>
      <c r="M355" s="27">
        <v>3.0</v>
      </c>
      <c r="N355" s="27">
        <v>1.0</v>
      </c>
      <c r="O355" s="30"/>
      <c r="P355" s="31">
        <v>1760.0</v>
      </c>
      <c r="Q355" s="32">
        <v>639.0</v>
      </c>
      <c r="R355" s="33">
        <v>45597.0</v>
      </c>
      <c r="S355" s="33">
        <v>43557.0</v>
      </c>
      <c r="T355" s="34"/>
      <c r="U355" s="35"/>
      <c r="V355" s="1"/>
    </row>
    <row r="356" ht="24.0" customHeight="1">
      <c r="A356" s="1"/>
      <c r="B356" s="25" t="str">
        <f>HYPERLINK("https://www.compass.com/listing/145-34-109th-avenue-queens-ny-11435/29139524613322465/view?agent_id=610d3f3370540700019b0833","145-34 109th Avenue")</f>
        <v>145-34 109th Avenue</v>
      </c>
      <c r="C356" s="26" t="s">
        <v>53</v>
      </c>
      <c r="D356" s="27" t="s">
        <v>23</v>
      </c>
      <c r="E356" s="28" t="str">
        <f>HYPERLINK("https://www.compass.com/building/145-34-109th-ave-queens-ny-11435/293534224428888725/","145-34 109th Ave")</f>
        <v>145-34 109th Ave</v>
      </c>
      <c r="F356" s="26" t="s">
        <v>24</v>
      </c>
      <c r="G356" s="29">
        <v>125000.0</v>
      </c>
      <c r="H356" s="29">
        <v>66.0</v>
      </c>
      <c r="I356" s="29">
        <v>316.0</v>
      </c>
      <c r="J356" s="29">
        <v>3786.0</v>
      </c>
      <c r="K356" s="26" t="s">
        <v>25</v>
      </c>
      <c r="L356" s="27">
        <v>6.0</v>
      </c>
      <c r="M356" s="27">
        <v>3.0</v>
      </c>
      <c r="N356" s="27">
        <v>1.0</v>
      </c>
      <c r="O356" s="27">
        <v>1.0</v>
      </c>
      <c r="P356" s="31">
        <v>1883.0</v>
      </c>
      <c r="Q356" s="32">
        <v>306.0</v>
      </c>
      <c r="R356" s="33">
        <v>45616.0</v>
      </c>
      <c r="S356" s="33">
        <v>42151.0</v>
      </c>
      <c r="T356" s="34"/>
      <c r="U356" s="35"/>
      <c r="V356" s="1"/>
    </row>
    <row r="357" ht="24.0" customHeight="1">
      <c r="A357" s="1"/>
      <c r="B357" s="25" t="str">
        <f>HYPERLINK("https://www.compass.com/listing/147-27-110th-road-queens-ny-11435/1730511427522265705/view?agent_id=610d3f3370540700019b0833","147-27 110th Road")</f>
        <v>147-27 110th Road</v>
      </c>
      <c r="C357" s="26" t="s">
        <v>53</v>
      </c>
      <c r="D357" s="27" t="s">
        <v>23</v>
      </c>
      <c r="E357" s="28" t="str">
        <f>HYPERLINK("https://www.compass.com/building/147-27-110th-rd-queens-ny-11435/293532839654209205/","147-27 110th Rd")</f>
        <v>147-27 110th Rd</v>
      </c>
      <c r="F357" s="26" t="s">
        <v>24</v>
      </c>
      <c r="G357" s="29">
        <v>249000.0</v>
      </c>
      <c r="H357" s="29">
        <v>200.0</v>
      </c>
      <c r="I357" s="29">
        <v>217.0</v>
      </c>
      <c r="J357" s="29">
        <v>2600.0</v>
      </c>
      <c r="K357" s="26" t="s">
        <v>25</v>
      </c>
      <c r="L357" s="27">
        <v>7.0</v>
      </c>
      <c r="M357" s="27">
        <v>3.0</v>
      </c>
      <c r="N357" s="27">
        <v>1.0</v>
      </c>
      <c r="O357" s="30"/>
      <c r="P357" s="31">
        <v>1248.0</v>
      </c>
      <c r="Q357" s="32">
        <v>365.0</v>
      </c>
      <c r="R357" s="33">
        <v>45597.0</v>
      </c>
      <c r="S357" s="33">
        <v>41373.0</v>
      </c>
      <c r="T357" s="34"/>
      <c r="U357" s="35"/>
      <c r="V357" s="1"/>
    </row>
    <row r="358" ht="24.0" customHeight="1">
      <c r="A358" s="1"/>
      <c r="B358" s="25" t="str">
        <f>HYPERLINK("https://www.compass.com/listing/143-17-glassboro-avenue-queens-ny-11435/1730602757208980785/view?agent_id=610d3f3370540700019b0833","143-17 Glassboro Avenue")</f>
        <v>143-17 Glassboro Avenue</v>
      </c>
      <c r="C358" s="26" t="s">
        <v>53</v>
      </c>
      <c r="D358" s="27" t="s">
        <v>23</v>
      </c>
      <c r="E358" s="28" t="str">
        <f>HYPERLINK("https://www.compass.com/building/143-17-glassboro-ave-queens-ny-11435/293531728969028805/","143-17 Glassboro Ave")</f>
        <v>143-17 Glassboro Ave</v>
      </c>
      <c r="F358" s="26" t="s">
        <v>24</v>
      </c>
      <c r="G358" s="29">
        <v>279000.0</v>
      </c>
      <c r="H358" s="29">
        <v>218.0</v>
      </c>
      <c r="I358" s="29">
        <v>177.0</v>
      </c>
      <c r="J358" s="29">
        <v>2119.0</v>
      </c>
      <c r="K358" s="26" t="s">
        <v>25</v>
      </c>
      <c r="L358" s="27">
        <v>7.0</v>
      </c>
      <c r="M358" s="27">
        <v>3.0</v>
      </c>
      <c r="N358" s="27">
        <v>1.0</v>
      </c>
      <c r="O358" s="30"/>
      <c r="P358" s="31">
        <v>1280.0</v>
      </c>
      <c r="Q358" s="32">
        <v>120.0</v>
      </c>
      <c r="R358" s="33">
        <v>45597.0</v>
      </c>
      <c r="S358" s="33">
        <v>41141.0</v>
      </c>
      <c r="T358" s="34"/>
      <c r="U358" s="35"/>
      <c r="V358" s="1"/>
    </row>
    <row r="359" ht="24.0" customHeight="1">
      <c r="A359" s="1"/>
      <c r="B359" s="25" t="str">
        <f>HYPERLINK("https://www.compass.com/listing/109-41-141st-street-queens-ny-11435/1730612571494447025/view?agent_id=610d3f3370540700019b0833","109-41 141st Street")</f>
        <v>109-41 141st Street</v>
      </c>
      <c r="C359" s="26" t="s">
        <v>53</v>
      </c>
      <c r="D359" s="27" t="s">
        <v>23</v>
      </c>
      <c r="E359" s="28" t="str">
        <f>HYPERLINK("https://www.compass.com/building/109-41-141st-st-queens-ny-11435/293526512513058837/","109-41 141st St")</f>
        <v>109-41 141st St</v>
      </c>
      <c r="F359" s="26" t="s">
        <v>24</v>
      </c>
      <c r="G359" s="29">
        <v>320000.0</v>
      </c>
      <c r="H359" s="29">
        <v>211.0</v>
      </c>
      <c r="I359" s="29">
        <v>66.0</v>
      </c>
      <c r="J359" s="29">
        <v>787.0</v>
      </c>
      <c r="K359" s="26" t="s">
        <v>25</v>
      </c>
      <c r="L359" s="27">
        <v>6.0</v>
      </c>
      <c r="M359" s="27">
        <v>3.0</v>
      </c>
      <c r="N359" s="27">
        <v>1.0</v>
      </c>
      <c r="O359" s="30"/>
      <c r="P359" s="31">
        <v>1520.0</v>
      </c>
      <c r="Q359" s="32">
        <v>365.0</v>
      </c>
      <c r="R359" s="33">
        <v>45597.0</v>
      </c>
      <c r="S359" s="33">
        <v>41013.0</v>
      </c>
      <c r="T359" s="34"/>
      <c r="U359" s="35"/>
      <c r="V359" s="1"/>
    </row>
    <row r="360" ht="24.0" customHeight="1">
      <c r="A360" s="1"/>
      <c r="B360" s="25" t="str">
        <f>HYPERLINK("https://www.compass.com/listing/145-08-111th-avenue-queens-ny-11435/1730632718523212081/view?agent_id=610d3f3370540700019b0833","145-08 111th Avenue")</f>
        <v>145-08 111th Avenue</v>
      </c>
      <c r="C360" s="26" t="s">
        <v>53</v>
      </c>
      <c r="D360" s="27" t="s">
        <v>23</v>
      </c>
      <c r="E360" s="28" t="str">
        <f>HYPERLINK("https://www.compass.com/building/145-08-111th-ave-queens-ny-11435/293534140358222725/","145-08 111th Ave")</f>
        <v>145-08 111th Ave</v>
      </c>
      <c r="F360" s="26" t="s">
        <v>24</v>
      </c>
      <c r="G360" s="29">
        <v>325000.0</v>
      </c>
      <c r="H360" s="29">
        <v>228.0</v>
      </c>
      <c r="I360" s="29">
        <v>20.0</v>
      </c>
      <c r="J360" s="29">
        <v>236.0</v>
      </c>
      <c r="K360" s="26" t="s">
        <v>25</v>
      </c>
      <c r="L360" s="27">
        <v>8.0</v>
      </c>
      <c r="M360" s="27">
        <v>3.0</v>
      </c>
      <c r="N360" s="27">
        <v>1.0</v>
      </c>
      <c r="O360" s="30"/>
      <c r="P360" s="31">
        <v>1424.0</v>
      </c>
      <c r="Q360" s="32">
        <v>244.0</v>
      </c>
      <c r="R360" s="33">
        <v>45597.0</v>
      </c>
      <c r="S360" s="33">
        <v>41725.0</v>
      </c>
      <c r="T360" s="34"/>
      <c r="U360" s="35"/>
      <c r="V360" s="1"/>
    </row>
    <row r="361" ht="24.0" customHeight="1">
      <c r="A361" s="1"/>
      <c r="B361" s="25" t="str">
        <f>HYPERLINK("https://www.compass.com/listing/146-11-shore-avenue-queens-ny-11435/1389872843331749505/view?agent_id=610d3f3370540700019b0833","146-11 Shore Avenue")</f>
        <v>146-11 Shore Avenue</v>
      </c>
      <c r="C361" s="26" t="s">
        <v>53</v>
      </c>
      <c r="D361" s="27" t="s">
        <v>23</v>
      </c>
      <c r="E361" s="28" t="str">
        <f>HYPERLINK("https://www.compass.com/building/146-11-shore-ave-queens-ny-11435/293418446161470277/","146-11 Shore Ave")</f>
        <v>146-11 Shore Ave</v>
      </c>
      <c r="F361" s="26" t="s">
        <v>24</v>
      </c>
      <c r="G361" s="29">
        <v>599900.0</v>
      </c>
      <c r="H361" s="29">
        <v>512.0</v>
      </c>
      <c r="I361" s="29">
        <v>365.0</v>
      </c>
      <c r="J361" s="29">
        <v>4377.0</v>
      </c>
      <c r="K361" s="26" t="s">
        <v>25</v>
      </c>
      <c r="L361" s="27">
        <v>6.0</v>
      </c>
      <c r="M361" s="27">
        <v>3.0</v>
      </c>
      <c r="N361" s="27">
        <v>1.0</v>
      </c>
      <c r="O361" s="30"/>
      <c r="P361" s="31">
        <v>1172.0</v>
      </c>
      <c r="Q361" s="32">
        <v>315.0</v>
      </c>
      <c r="R361" s="33">
        <v>45597.0</v>
      </c>
      <c r="S361" s="33">
        <v>45169.0</v>
      </c>
      <c r="T361" s="34"/>
      <c r="U361" s="35"/>
      <c r="V361" s="1"/>
    </row>
    <row r="362" ht="24.0" customHeight="1">
      <c r="A362" s="1"/>
      <c r="B362" s="25" t="str">
        <f>HYPERLINK("https://www.compass.com/listing/97-14-148th-street-queens-ny-11435/1730521120861094777/view?agent_id=610d3f3370540700019b0833","97-14 148th Street")</f>
        <v>97-14 148th Street</v>
      </c>
      <c r="C362" s="26" t="s">
        <v>53</v>
      </c>
      <c r="D362" s="27" t="s">
        <v>23</v>
      </c>
      <c r="E362" s="28" t="str">
        <f>HYPERLINK("https://www.compass.com/building/97-14-148th-st-queens-ny-11435/293527812747302869/","97-14 148th St")</f>
        <v>97-14 148th St</v>
      </c>
      <c r="F362" s="26" t="s">
        <v>24</v>
      </c>
      <c r="G362" s="29">
        <v>429000.0</v>
      </c>
      <c r="H362" s="29">
        <v>436.0</v>
      </c>
      <c r="I362" s="29">
        <v>162.0</v>
      </c>
      <c r="J362" s="29">
        <v>1940.0</v>
      </c>
      <c r="K362" s="26" t="s">
        <v>25</v>
      </c>
      <c r="L362" s="27">
        <v>7.0</v>
      </c>
      <c r="M362" s="27">
        <v>3.0</v>
      </c>
      <c r="N362" s="27">
        <v>1.0</v>
      </c>
      <c r="O362" s="30"/>
      <c r="P362" s="27">
        <v>984.0</v>
      </c>
      <c r="Q362" s="32">
        <v>276.0</v>
      </c>
      <c r="R362" s="33">
        <v>45597.0</v>
      </c>
      <c r="S362" s="33">
        <v>41878.0</v>
      </c>
      <c r="T362" s="34"/>
      <c r="U362" s="35"/>
      <c r="V362" s="1"/>
    </row>
    <row r="363" ht="24.0" customHeight="1">
      <c r="A363" s="1"/>
      <c r="B363" s="25" t="str">
        <f>HYPERLINK("https://www.compass.com/listing/109-15-pinegrove-street-queens-ny-11435/1728958509278667881/view?agent_id=610d3f3370540700019b0833","109-15 Pinegrove Street")</f>
        <v>109-15 Pinegrove Street</v>
      </c>
      <c r="C363" s="26" t="s">
        <v>53</v>
      </c>
      <c r="D363" s="27" t="s">
        <v>23</v>
      </c>
      <c r="E363" s="28" t="str">
        <f>HYPERLINK("https://www.compass.com/building/109-15-pinegrove-st-queens-ny-11435/293529605166453493/","109-15 Pinegrove St")</f>
        <v>109-15 Pinegrove St</v>
      </c>
      <c r="F363" s="26" t="s">
        <v>24</v>
      </c>
      <c r="G363" s="29">
        <v>599999.0</v>
      </c>
      <c r="H363" s="29">
        <v>481.0</v>
      </c>
      <c r="I363" s="29">
        <v>319.0</v>
      </c>
      <c r="J363" s="29">
        <v>3822.0</v>
      </c>
      <c r="K363" s="26" t="s">
        <v>25</v>
      </c>
      <c r="L363" s="27">
        <v>6.0</v>
      </c>
      <c r="M363" s="27">
        <v>3.0</v>
      </c>
      <c r="N363" s="27">
        <v>1.0</v>
      </c>
      <c r="O363" s="30"/>
      <c r="P363" s="31">
        <v>1248.0</v>
      </c>
      <c r="Q363" s="32">
        <v>75.0</v>
      </c>
      <c r="R363" s="33">
        <v>45637.0</v>
      </c>
      <c r="S363" s="33">
        <v>43571.0</v>
      </c>
      <c r="T363" s="34"/>
      <c r="U363" s="35"/>
      <c r="V363" s="1"/>
    </row>
    <row r="364" ht="24.0" customHeight="1">
      <c r="A364" s="1"/>
      <c r="B364" s="25" t="str">
        <f>HYPERLINK("https://www.compass.com/listing/104-43-142nd-street-queens-ny-11435/1730622269127426633/view?agent_id=610d3f3370540700019b0833","104-43 142nd Street")</f>
        <v>104-43 142nd Street</v>
      </c>
      <c r="C364" s="26" t="s">
        <v>53</v>
      </c>
      <c r="D364" s="27" t="s">
        <v>23</v>
      </c>
      <c r="E364" s="28" t="str">
        <f>HYPERLINK("https://www.compass.com/building/104-43-142nd-st-queens-ny-11435/293417722325241893/","104-43 142nd St")</f>
        <v>104-43 142nd St</v>
      </c>
      <c r="F364" s="26" t="s">
        <v>24</v>
      </c>
      <c r="G364" s="29">
        <v>349000.0</v>
      </c>
      <c r="H364" s="29">
        <v>107.0</v>
      </c>
      <c r="I364" s="29">
        <v>325.0</v>
      </c>
      <c r="J364" s="29">
        <v>3900.0</v>
      </c>
      <c r="K364" s="26" t="s">
        <v>25</v>
      </c>
      <c r="L364" s="27">
        <v>7.0</v>
      </c>
      <c r="M364" s="27">
        <v>3.0</v>
      </c>
      <c r="N364" s="27">
        <v>1.0</v>
      </c>
      <c r="O364" s="30"/>
      <c r="P364" s="31">
        <v>3250.0</v>
      </c>
      <c r="Q364" s="32">
        <v>387.0</v>
      </c>
      <c r="R364" s="33">
        <v>45597.0</v>
      </c>
      <c r="S364" s="33">
        <v>41037.0</v>
      </c>
      <c r="T364" s="34"/>
      <c r="U364" s="35"/>
      <c r="V364" s="1"/>
    </row>
    <row r="365" ht="24.0" customHeight="1">
      <c r="A365" s="1"/>
      <c r="B365" s="25" t="str">
        <f>HYPERLINK("https://www.compass.com/listing/104-15-inwood-street-queens-ny-11435/1730696339848443289/view?agent_id=610d3f3370540700019b0833","104-15 Inwood Street")</f>
        <v>104-15 Inwood Street</v>
      </c>
      <c r="C365" s="26" t="s">
        <v>53</v>
      </c>
      <c r="D365" s="27" t="s">
        <v>23</v>
      </c>
      <c r="E365" s="28" t="str">
        <f>HYPERLINK("https://www.compass.com/building/104-15-inwood-st-queens-ny-11435/293534781256259061/","104-15 Inwood St")</f>
        <v>104-15 Inwood St</v>
      </c>
      <c r="F365" s="26" t="s">
        <v>24</v>
      </c>
      <c r="G365" s="29">
        <v>349000.0</v>
      </c>
      <c r="H365" s="29">
        <v>298.0</v>
      </c>
      <c r="I365" s="29">
        <v>176.0</v>
      </c>
      <c r="J365" s="29">
        <v>2110.0</v>
      </c>
      <c r="K365" s="26" t="s">
        <v>25</v>
      </c>
      <c r="L365" s="27">
        <v>7.0</v>
      </c>
      <c r="M365" s="27">
        <v>3.0</v>
      </c>
      <c r="N365" s="27">
        <v>1.0</v>
      </c>
      <c r="O365" s="30"/>
      <c r="P365" s="31">
        <v>1172.0</v>
      </c>
      <c r="Q365" s="32">
        <v>360.0</v>
      </c>
      <c r="R365" s="33">
        <v>45597.0</v>
      </c>
      <c r="S365" s="33">
        <v>41388.0</v>
      </c>
      <c r="T365" s="34"/>
      <c r="U365" s="35"/>
      <c r="V365" s="1"/>
    </row>
    <row r="366" ht="24.0" customHeight="1">
      <c r="A366" s="1"/>
      <c r="B366" s="25" t="str">
        <f>HYPERLINK("https://www.compass.com/listing/111-43-144th-street-queens-ny-11435/500868130143660633/view?agent_id=610d3f3370540700019b0833","111-43 144th Street")</f>
        <v>111-43 144th Street</v>
      </c>
      <c r="C366" s="26" t="s">
        <v>53</v>
      </c>
      <c r="D366" s="27" t="s">
        <v>23</v>
      </c>
      <c r="E366" s="28" t="str">
        <f>HYPERLINK("https://www.compass.com/building/111-43-144th-st-queens-ny-11435/293529755238584725/","111-43 144th St")</f>
        <v>111-43 144th St</v>
      </c>
      <c r="F366" s="26" t="s">
        <v>24</v>
      </c>
      <c r="G366" s="29">
        <v>380000.0</v>
      </c>
      <c r="H366" s="29">
        <v>411.0</v>
      </c>
      <c r="I366" s="29">
        <v>276.0</v>
      </c>
      <c r="J366" s="29">
        <v>3310.0</v>
      </c>
      <c r="K366" s="26" t="s">
        <v>25</v>
      </c>
      <c r="L366" s="27">
        <v>6.0</v>
      </c>
      <c r="M366" s="27">
        <v>3.0</v>
      </c>
      <c r="N366" s="27">
        <v>1.0</v>
      </c>
      <c r="O366" s="30"/>
      <c r="P366" s="27">
        <v>924.0</v>
      </c>
      <c r="Q366" s="32">
        <v>87.0</v>
      </c>
      <c r="R366" s="33">
        <v>45597.0</v>
      </c>
      <c r="S366" s="33">
        <v>43112.0</v>
      </c>
      <c r="T366" s="34"/>
      <c r="U366" s="35"/>
      <c r="V366" s="1"/>
    </row>
    <row r="367" ht="24.0" customHeight="1">
      <c r="A367" s="1"/>
      <c r="B367" s="25" t="str">
        <f>HYPERLINK("https://www.compass.com/listing/107-67-remington-street-queens-ny-11435/871194493392922753/view?agent_id=610d3f3370540700019b0833","107-67 Remington Street")</f>
        <v>107-67 Remington Street</v>
      </c>
      <c r="C367" s="26" t="s">
        <v>53</v>
      </c>
      <c r="D367" s="27" t="s">
        <v>23</v>
      </c>
      <c r="E367" s="28" t="str">
        <f>HYPERLINK("https://www.compass.com/building/107-67-remington-st-queens-ny-11435/293418393816535429/","107-67 Remington St")</f>
        <v>107-67 Remington St</v>
      </c>
      <c r="F367" s="26" t="s">
        <v>24</v>
      </c>
      <c r="G367" s="29">
        <v>482000.0</v>
      </c>
      <c r="H367" s="29">
        <v>514.0</v>
      </c>
      <c r="I367" s="29">
        <v>163.0</v>
      </c>
      <c r="J367" s="29">
        <v>1955.0</v>
      </c>
      <c r="K367" s="26" t="s">
        <v>25</v>
      </c>
      <c r="L367" s="27">
        <v>5.0</v>
      </c>
      <c r="M367" s="27">
        <v>3.0</v>
      </c>
      <c r="N367" s="27">
        <v>1.0</v>
      </c>
      <c r="O367" s="30"/>
      <c r="P367" s="27">
        <v>937.0</v>
      </c>
      <c r="Q367" s="32">
        <v>61.0</v>
      </c>
      <c r="R367" s="33">
        <v>45597.0</v>
      </c>
      <c r="S367" s="33">
        <v>44453.0</v>
      </c>
      <c r="T367" s="34"/>
      <c r="U367" s="35"/>
      <c r="V367" s="1"/>
    </row>
    <row r="368" ht="24.0" customHeight="1">
      <c r="A368" s="1"/>
      <c r="B368" s="25" t="str">
        <f>HYPERLINK("https://www.compass.com/listing/97-05-148th-street-queens-ny-11435/197773457000327153/view?agent_id=610d3f3370540700019b0833","97-05 148th Street")</f>
        <v>97-05 148th Street</v>
      </c>
      <c r="C368" s="26" t="s">
        <v>53</v>
      </c>
      <c r="D368" s="27" t="s">
        <v>23</v>
      </c>
      <c r="E368" s="28" t="str">
        <f>HYPERLINK("https://www.compass.com/building/97-05-148th-st-queens-ny-11435/293534863842140117/","97-05 148th St")</f>
        <v>97-05 148th St</v>
      </c>
      <c r="F368" s="26" t="s">
        <v>24</v>
      </c>
      <c r="G368" s="29">
        <v>440000.0</v>
      </c>
      <c r="H368" s="29">
        <v>469.0</v>
      </c>
      <c r="I368" s="29">
        <v>75.0</v>
      </c>
      <c r="J368" s="29">
        <v>900.0</v>
      </c>
      <c r="K368" s="26" t="s">
        <v>25</v>
      </c>
      <c r="L368" s="27">
        <v>6.0</v>
      </c>
      <c r="M368" s="27">
        <v>3.0</v>
      </c>
      <c r="N368" s="27">
        <v>1.0</v>
      </c>
      <c r="O368" s="30"/>
      <c r="P368" s="27">
        <v>938.0</v>
      </c>
      <c r="Q368" s="32">
        <v>92.0</v>
      </c>
      <c r="R368" s="33">
        <v>45597.0</v>
      </c>
      <c r="S368" s="33">
        <v>43172.0</v>
      </c>
      <c r="T368" s="34"/>
      <c r="U368" s="35"/>
      <c r="V368" s="1"/>
    </row>
    <row r="369" ht="24.0" customHeight="1">
      <c r="A369" s="1"/>
      <c r="B369" s="25" t="str">
        <f>HYPERLINK("https://www.compass.com/listing/109-99-141st-street-queens-ny-11435/1727215330330079473/view?agent_id=610d3f3370540700019b0833","109-99 141st Street")</f>
        <v>109-99 141st Street</v>
      </c>
      <c r="C369" s="26" t="s">
        <v>53</v>
      </c>
      <c r="D369" s="27" t="s">
        <v>23</v>
      </c>
      <c r="E369" s="28" t="str">
        <f>HYPERLINK("https://www.compass.com/building/109-99-141st-st-queens-ny-11435/293527119647074917/","109-99 141st St")</f>
        <v>109-99 141st St</v>
      </c>
      <c r="F369" s="26" t="s">
        <v>24</v>
      </c>
      <c r="G369" s="29">
        <v>350000.0</v>
      </c>
      <c r="H369" s="29">
        <v>230.0</v>
      </c>
      <c r="I369" s="29">
        <v>243.0</v>
      </c>
      <c r="J369" s="29">
        <v>2917.0</v>
      </c>
      <c r="K369" s="26" t="s">
        <v>25</v>
      </c>
      <c r="L369" s="27">
        <v>6.0</v>
      </c>
      <c r="M369" s="27">
        <v>3.0</v>
      </c>
      <c r="N369" s="27">
        <v>1.0</v>
      </c>
      <c r="O369" s="30"/>
      <c r="P369" s="31">
        <v>1522.0</v>
      </c>
      <c r="Q369" s="32">
        <v>382.0</v>
      </c>
      <c r="R369" s="33">
        <v>45634.0</v>
      </c>
      <c r="S369" s="33">
        <v>42443.0</v>
      </c>
      <c r="T369" s="34"/>
      <c r="U369" s="35"/>
      <c r="V369" s="1"/>
    </row>
    <row r="370" ht="24.0" customHeight="1">
      <c r="A370" s="1"/>
      <c r="B370" s="25" t="str">
        <f>HYPERLINK("https://www.compass.com/listing/95-21-147th-place-queens-ny-11435/29130404317438289/view?agent_id=610d3f3370540700019b0833","95-21 147th Place")</f>
        <v>95-21 147th Place</v>
      </c>
      <c r="C370" s="26" t="s">
        <v>53</v>
      </c>
      <c r="D370" s="27" t="s">
        <v>23</v>
      </c>
      <c r="E370" s="28" t="str">
        <f>HYPERLINK("https://www.compass.com/building/95-21-147th-pl-queens-ny-11435/293526609275695845/","95-21 147th Pl")</f>
        <v>95-21 147th Pl</v>
      </c>
      <c r="F370" s="26" t="s">
        <v>24</v>
      </c>
      <c r="G370" s="29">
        <v>550000.0</v>
      </c>
      <c r="H370" s="29">
        <v>362.0</v>
      </c>
      <c r="I370" s="29">
        <v>269.0</v>
      </c>
      <c r="J370" s="29">
        <v>3223.0</v>
      </c>
      <c r="K370" s="26" t="s">
        <v>25</v>
      </c>
      <c r="L370" s="27">
        <v>10.0</v>
      </c>
      <c r="M370" s="27">
        <v>3.0</v>
      </c>
      <c r="N370" s="27">
        <v>1.0</v>
      </c>
      <c r="O370" s="30"/>
      <c r="P370" s="31">
        <v>1520.0</v>
      </c>
      <c r="Q370" s="32">
        <v>30.0</v>
      </c>
      <c r="R370" s="33">
        <v>45597.0</v>
      </c>
      <c r="S370" s="33">
        <v>43073.0</v>
      </c>
      <c r="T370" s="34"/>
      <c r="U370" s="35"/>
      <c r="V370" s="1"/>
    </row>
    <row r="371" ht="24.0" customHeight="1">
      <c r="A371" s="1"/>
      <c r="B371" s="25" t="str">
        <f>HYPERLINK("https://www.compass.com/listing/97-17-remington-street-queens-ny-11435/341239526369942769/view?agent_id=610d3f3370540700019b0833","97-17 Remington Street")</f>
        <v>97-17 Remington Street</v>
      </c>
      <c r="C371" s="26" t="s">
        <v>53</v>
      </c>
      <c r="D371" s="27" t="s">
        <v>23</v>
      </c>
      <c r="E371" s="28" t="str">
        <f>HYPERLINK("https://www.compass.com/building/97-17-remington-st-queens-ny-11435/293533226981437237/","97-17 Remington St")</f>
        <v>97-17 Remington St</v>
      </c>
      <c r="F371" s="26" t="s">
        <v>24</v>
      </c>
      <c r="G371" s="29">
        <v>550000.0</v>
      </c>
      <c r="H371" s="29">
        <v>415.0</v>
      </c>
      <c r="I371" s="29">
        <v>331.0</v>
      </c>
      <c r="J371" s="29">
        <v>3970.0</v>
      </c>
      <c r="K371" s="26" t="s">
        <v>25</v>
      </c>
      <c r="L371" s="27">
        <v>7.0</v>
      </c>
      <c r="M371" s="27">
        <v>3.0</v>
      </c>
      <c r="N371" s="27">
        <v>1.0</v>
      </c>
      <c r="O371" s="30"/>
      <c r="P371" s="31">
        <v>1326.0</v>
      </c>
      <c r="Q371" s="32">
        <v>366.0</v>
      </c>
      <c r="R371" s="33">
        <v>45597.0</v>
      </c>
      <c r="S371" s="33">
        <v>43722.0</v>
      </c>
      <c r="T371" s="34"/>
      <c r="U371" s="35"/>
      <c r="V371" s="1"/>
    </row>
    <row r="372" ht="24.0" customHeight="1">
      <c r="A372" s="1"/>
      <c r="B372" s="25" t="str">
        <f>HYPERLINK("https://www.compass.com/listing/111-20-145th-street-queens-ny-11435/1202159443818981329/view?agent_id=610d3f3370540700019b0833","111-20 145th Street")</f>
        <v>111-20 145th Street</v>
      </c>
      <c r="C372" s="26" t="s">
        <v>53</v>
      </c>
      <c r="D372" s="27" t="s">
        <v>23</v>
      </c>
      <c r="E372" s="28" t="str">
        <f>HYPERLINK("https://www.compass.com/building/111-20-145th-st-queens-ny-11435/293531954136006309/","111-20 145th St")</f>
        <v>111-20 145th St</v>
      </c>
      <c r="F372" s="26" t="s">
        <v>24</v>
      </c>
      <c r="G372" s="29">
        <v>591000.0</v>
      </c>
      <c r="H372" s="29">
        <v>441.0</v>
      </c>
      <c r="I372" s="29">
        <v>357.0</v>
      </c>
      <c r="J372" s="29">
        <v>4285.0</v>
      </c>
      <c r="K372" s="26" t="s">
        <v>25</v>
      </c>
      <c r="L372" s="27">
        <v>9.0</v>
      </c>
      <c r="M372" s="27">
        <v>3.0</v>
      </c>
      <c r="N372" s="27">
        <v>1.0</v>
      </c>
      <c r="O372" s="30"/>
      <c r="P372" s="31">
        <v>1340.0</v>
      </c>
      <c r="Q372" s="32">
        <v>412.0</v>
      </c>
      <c r="R372" s="33">
        <v>45597.0</v>
      </c>
      <c r="S372" s="33">
        <v>44910.0</v>
      </c>
      <c r="T372" s="34"/>
      <c r="U372" s="35"/>
      <c r="V372" s="1"/>
    </row>
    <row r="373" ht="24.0" customHeight="1">
      <c r="A373" s="3"/>
      <c r="B373" s="36" t="s">
        <v>26</v>
      </c>
      <c r="C373" s="37"/>
      <c r="D373" s="38"/>
      <c r="E373" s="38"/>
      <c r="F373" s="37"/>
      <c r="G373" s="39">
        <f>IFERROR(__xludf.DUMMYFUNCTION("TO_DOLLARS(IFERROR(AVERAGE(G221:G372)))"),384140.7039473684)</f>
        <v>384140.7039</v>
      </c>
      <c r="H373" s="39">
        <f>IFERROR(__xludf.DUMMYFUNCTION("TO_DOLLARS(IFERROR(AVERAGE(H221:H372)))"),316.2307692307692)</f>
        <v>316.2307692</v>
      </c>
      <c r="I373" s="39">
        <f>IFERROR(__xludf.DUMMYFUNCTION("TO_DOLLARS(IFERROR(AVERAGE(I221:I372)))"),590.0986842105264)</f>
        <v>590.0986842</v>
      </c>
      <c r="J373" s="39">
        <f>IFERROR(__xludf.DUMMYFUNCTION("TO_DOLLARS(IFERROR(AVERAGE(J221:J372)))"),6767.5)</f>
        <v>6767.5</v>
      </c>
      <c r="K373" s="37"/>
      <c r="L373" s="38"/>
      <c r="M373" s="38"/>
      <c r="N373" s="38"/>
      <c r="O373" s="38"/>
      <c r="P373" s="38">
        <f t="shared" ref="P373:Q373" si="19">IFERROR(AVERAGE(P221:P372),"")</f>
        <v>1357.4</v>
      </c>
      <c r="Q373" s="40">
        <f t="shared" si="19"/>
        <v>204.1456954</v>
      </c>
      <c r="R373" s="41"/>
      <c r="S373" s="41"/>
      <c r="T373" s="39">
        <f>IFERROR(__xludf.DUMMYFUNCTION("TO_DOLLARS(IFERROR(AVERAGE(T221:T372)))"),730000.0)</f>
        <v>730000</v>
      </c>
      <c r="U373" s="41"/>
      <c r="V373" s="1"/>
    </row>
    <row r="374" ht="24.0" customHeight="1">
      <c r="A374" s="3"/>
      <c r="B374" s="42" t="s">
        <v>27</v>
      </c>
      <c r="C374" s="43"/>
      <c r="D374" s="44"/>
      <c r="E374" s="44"/>
      <c r="F374" s="43"/>
      <c r="G374" s="45">
        <f>IFERROR(__xludf.DUMMYFUNCTION("TO_DOLLARS(IFERROR(MEDIAN(G221:G372)))"),369495.0)</f>
        <v>369495</v>
      </c>
      <c r="H374" s="45">
        <f>IFERROR(__xludf.DUMMYFUNCTION("TO_DOLLARS(IFERROR(MEDIAN(H221:H372)))"),310.5)</f>
        <v>310.5</v>
      </c>
      <c r="I374" s="45">
        <f>IFERROR(__xludf.DUMMYFUNCTION("TO_DOLLARS(IFERROR(MEDIAN(I221:I372)))"),247.5)</f>
        <v>247.5</v>
      </c>
      <c r="J374" s="45">
        <f>IFERROR(__xludf.DUMMYFUNCTION("TO_DOLLARS(IFERROR(MEDIAN(J221:J372)))"),2851.5)</f>
        <v>2851.5</v>
      </c>
      <c r="K374" s="43"/>
      <c r="L374" s="44"/>
      <c r="M374" s="44"/>
      <c r="N374" s="44"/>
      <c r="O374" s="44"/>
      <c r="P374" s="44">
        <f t="shared" ref="P374:Q374" si="20">IFERROR(MEDIAN(P221:P372),"")</f>
        <v>1268</v>
      </c>
      <c r="Q374" s="46">
        <f t="shared" si="20"/>
        <v>159</v>
      </c>
      <c r="R374" s="47"/>
      <c r="S374" s="47"/>
      <c r="T374" s="45">
        <f>IFERROR(__xludf.DUMMYFUNCTION("TO_DOLLARS(IFERROR(MEDIAN(T221:T372)))"),730000.0)</f>
        <v>730000</v>
      </c>
      <c r="U374" s="47"/>
      <c r="V374" s="1"/>
    </row>
    <row r="375">
      <c r="A375" s="1"/>
      <c r="B375" s="2"/>
      <c r="C375" s="2"/>
      <c r="D375" s="2"/>
      <c r="E375" s="2"/>
      <c r="F375" s="2"/>
      <c r="G375" s="2"/>
      <c r="H375" s="2"/>
      <c r="I375" s="2"/>
      <c r="J375" s="2"/>
      <c r="K375" s="2"/>
      <c r="L375" s="2"/>
      <c r="M375" s="2"/>
      <c r="N375" s="2"/>
      <c r="O375" s="2"/>
      <c r="P375" s="2"/>
      <c r="Q375" s="2"/>
      <c r="R375" s="2"/>
      <c r="S375" s="2"/>
      <c r="T375" s="2"/>
      <c r="U375" s="2"/>
      <c r="V375" s="1"/>
    </row>
    <row r="376">
      <c r="A376" s="1"/>
      <c r="B376" s="2"/>
      <c r="C376" s="2"/>
      <c r="D376" s="2"/>
      <c r="E376" s="2"/>
      <c r="F376" s="2"/>
      <c r="G376" s="2"/>
      <c r="H376" s="2"/>
      <c r="I376" s="2"/>
      <c r="J376" s="2"/>
      <c r="K376" s="2"/>
      <c r="L376" s="2"/>
      <c r="M376" s="2"/>
      <c r="N376" s="2"/>
      <c r="O376" s="2"/>
      <c r="P376" s="2"/>
      <c r="Q376" s="2"/>
      <c r="R376" s="2"/>
      <c r="S376" s="2"/>
      <c r="T376" s="2"/>
      <c r="U376" s="2"/>
      <c r="V376" s="1"/>
    </row>
    <row r="377" ht="18.75" customHeight="1">
      <c r="A377" s="3"/>
      <c r="B377" s="10" t="s">
        <v>61</v>
      </c>
      <c r="C377" s="5"/>
      <c r="D377" s="5"/>
      <c r="E377" s="5"/>
      <c r="F377" s="5"/>
      <c r="G377" s="5"/>
      <c r="H377" s="5"/>
      <c r="I377" s="5"/>
      <c r="J377" s="5"/>
      <c r="K377" s="5"/>
      <c r="L377" s="5"/>
      <c r="M377" s="5"/>
      <c r="N377" s="5"/>
      <c r="O377" s="5"/>
      <c r="P377" s="5"/>
      <c r="Q377" s="5"/>
      <c r="R377" s="5"/>
      <c r="S377" s="5"/>
      <c r="T377" s="5"/>
      <c r="U377" s="6"/>
      <c r="V377" s="1"/>
    </row>
    <row r="378" ht="18.75" customHeight="1">
      <c r="A378" s="3"/>
      <c r="B378" s="50" t="s">
        <v>62</v>
      </c>
      <c r="C378" s="5"/>
      <c r="D378" s="5"/>
      <c r="E378" s="5"/>
      <c r="F378" s="5"/>
      <c r="G378" s="5"/>
      <c r="H378" s="5"/>
      <c r="I378" s="5"/>
      <c r="J378" s="5"/>
      <c r="K378" s="5"/>
      <c r="L378" s="5"/>
      <c r="M378" s="5"/>
      <c r="N378" s="5"/>
      <c r="O378" s="5"/>
      <c r="P378" s="5"/>
      <c r="Q378" s="5"/>
      <c r="R378" s="5"/>
      <c r="S378" s="5"/>
      <c r="T378" s="5"/>
      <c r="U378" s="6"/>
      <c r="V378" s="1"/>
    </row>
    <row r="379" ht="37.5" customHeight="1">
      <c r="A379" s="1"/>
      <c r="B379" s="51"/>
      <c r="C379" s="5"/>
      <c r="D379" s="5"/>
      <c r="E379" s="5"/>
      <c r="F379" s="5"/>
      <c r="G379" s="5"/>
      <c r="H379" s="5"/>
      <c r="I379" s="5"/>
      <c r="J379" s="5"/>
      <c r="K379" s="5"/>
      <c r="L379" s="5"/>
      <c r="M379" s="5"/>
      <c r="N379" s="5"/>
      <c r="O379" s="5"/>
      <c r="P379" s="5"/>
      <c r="Q379" s="5"/>
      <c r="R379" s="5"/>
      <c r="S379" s="5"/>
      <c r="T379" s="5"/>
      <c r="U379" s="6"/>
      <c r="V379" s="1"/>
    </row>
    <row r="380">
      <c r="A380" s="3"/>
      <c r="B380" s="52" t="s">
        <v>63</v>
      </c>
      <c r="C380" s="5"/>
      <c r="D380" s="5"/>
      <c r="E380" s="5"/>
      <c r="F380" s="5"/>
      <c r="G380" s="5"/>
      <c r="H380" s="5"/>
      <c r="I380" s="5"/>
      <c r="J380" s="5"/>
      <c r="K380" s="5"/>
      <c r="L380" s="5"/>
      <c r="M380" s="5"/>
      <c r="N380" s="5"/>
      <c r="O380" s="5"/>
      <c r="P380" s="5"/>
      <c r="Q380" s="5"/>
      <c r="R380" s="5"/>
      <c r="S380" s="5"/>
      <c r="T380" s="5"/>
      <c r="U380" s="6"/>
      <c r="V380" s="1"/>
    </row>
    <row r="381">
      <c r="A381" s="1"/>
      <c r="B381" s="2"/>
      <c r="C381" s="2"/>
      <c r="D381" s="2"/>
      <c r="E381" s="2"/>
      <c r="F381" s="2"/>
      <c r="G381" s="2"/>
      <c r="H381" s="2"/>
      <c r="I381" s="2"/>
      <c r="J381" s="2"/>
      <c r="K381" s="2"/>
      <c r="L381" s="2"/>
      <c r="M381" s="2"/>
      <c r="N381" s="2"/>
      <c r="O381" s="2"/>
      <c r="P381" s="2"/>
      <c r="Q381" s="2"/>
      <c r="R381" s="2"/>
      <c r="S381" s="2"/>
      <c r="T381" s="2"/>
      <c r="U381" s="2"/>
      <c r="V381" s="1"/>
    </row>
  </sheetData>
  <mergeCells count="11">
    <mergeCell ref="B377:U377"/>
    <mergeCell ref="B378:U378"/>
    <mergeCell ref="B379:U379"/>
    <mergeCell ref="B380:U380"/>
    <mergeCell ref="B2:U2"/>
    <mergeCell ref="B3:U3"/>
    <mergeCell ref="B4:U4"/>
    <mergeCell ref="B5:U5"/>
    <mergeCell ref="B17:U17"/>
    <mergeCell ref="B28:U28"/>
    <mergeCell ref="B219:U219"/>
  </mergeCells>
  <drawing r:id="rId1"/>
</worksheet>
</file>